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obr/Downloads/"/>
    </mc:Choice>
  </mc:AlternateContent>
  <xr:revisionPtr revIDLastSave="0" documentId="13_ncr:1_{32B0CB01-AF97-9746-9FB0-1CCEA5F08B35}" xr6:coauthVersionLast="47" xr6:coauthVersionMax="47" xr10:uidLastSave="{00000000-0000-0000-0000-000000000000}"/>
  <bookViews>
    <workbookView xWindow="0" yWindow="740" windowWidth="29380" windowHeight="17080" xr2:uid="{00000000-000D-0000-FFFF-FFFF00000000}"/>
  </bookViews>
  <sheets>
    <sheet name="CVTv2.1" sheetId="5" r:id="rId1"/>
    <sheet name="CVTv1.2a" sheetId="6" r:id="rId2"/>
    <sheet name="RevisionHistory" sheetId="7" r:id="rId3"/>
  </sheets>
  <definedNames>
    <definedName name="ACT_FIELD_RATE" localSheetId="1">'CVTv1.2a'!$Q$57</definedName>
    <definedName name="ACT_FIELD_RATE" localSheetId="0">'CVTv2.1'!#REF!</definedName>
    <definedName name="ACT_FIELD_RATE">#REF!</definedName>
    <definedName name="ACT_FRAME_RATE" localSheetId="1">'CVTv1.2a'!$Q$58</definedName>
    <definedName name="ACT_FRAME_RATE" localSheetId="0">'CVTv2.1'!$Q$19</definedName>
    <definedName name="ACT_FRAME_RATE">#REF!</definedName>
    <definedName name="ACT_H_FREQ" localSheetId="1">'CVTv1.2a'!$Q$55</definedName>
    <definedName name="ACT_H_FREQ" localSheetId="0">'CVTv2.1'!$Q$17</definedName>
    <definedName name="ACT_H_FREQ">#REF!</definedName>
    <definedName name="ACT_PIXEL_FREQ" localSheetId="1">'CVTv1.2a'!$Q$60</definedName>
    <definedName name="ACT_PIXEL_FREQ" localSheetId="0">'CVTv2.1'!$Q$21</definedName>
    <definedName name="ACT_PIXEL_FREQ">#REF!</definedName>
    <definedName name="ACT_VBI_LINES" localSheetId="1">'CVTv1.2a'!$Y$30</definedName>
    <definedName name="ACT_VBI_LINES" localSheetId="0">'CVTv2.1'!$U$43</definedName>
    <definedName name="ACT_VBI_LINES">#REF!</definedName>
    <definedName name="Additional_HBlank" localSheetId="1">'CVTv1.2a'!#REF!</definedName>
    <definedName name="Additional_HBlank" localSheetId="0">'CVTv2.1'!$K$21</definedName>
    <definedName name="Additional_HBlank">#REF!</definedName>
    <definedName name="ALT_VBLANK_MIN_RQD">'CVTv2.1'!$K$19</definedName>
    <definedName name="ASPECT_RATIO" localSheetId="1">'CVTv1.2a'!$F$55</definedName>
    <definedName name="ASPECT_RATIO" localSheetId="0">'CVTv2.1'!$F$67</definedName>
    <definedName name="ASPECT_RATIO">#REF!</definedName>
    <definedName name="BOT_MARGIN" localSheetId="1">'CVTv1.2a'!$Q$44</definedName>
    <definedName name="BOT_MARGIN" localSheetId="0">'CVTv2.1'!#REF!</definedName>
    <definedName name="BOT_MARGIN">#REF!</definedName>
    <definedName name="C_PRIME" localSheetId="1">'CVTv1.2a'!$K$137</definedName>
    <definedName name="C_PRIME" localSheetId="0">'CVTv2.1'!#REF!</definedName>
    <definedName name="C_PRIME">#REF!</definedName>
    <definedName name="CELL_GRAN" localSheetId="1">'CVTv1.2a'!$K$106</definedName>
    <definedName name="CELL_GRAN" localSheetId="0">'CVTv2.1'!$K$99</definedName>
    <definedName name="CELL_GRAN">#REF!</definedName>
    <definedName name="CELL_GRAN_RND" localSheetId="1">'CVTv1.2a'!$Q$14</definedName>
    <definedName name="CELL_GRAN_RND" localSheetId="0">'CVTv2.1'!$U$12</definedName>
    <definedName name="CELL_GRAN_RND">#REF!</definedName>
    <definedName name="CLOCK_STEP" localSheetId="1">'CVTv1.2a'!$K$157</definedName>
    <definedName name="CLOCK_STEP" localSheetId="0">'CVTv2.1'!$K$121</definedName>
    <definedName name="CLOCK_STEP">#REF!</definedName>
    <definedName name="COARSE_CLOCK_STEP" localSheetId="1">'CVTv1.2a'!$K$158</definedName>
    <definedName name="COARSE_CLOCK_STEP" localSheetId="0">'CVTv2.1'!#REF!</definedName>
    <definedName name="COARSE_CLOCK_STEP">#REF!</definedName>
    <definedName name="CRT_EST_V_BPORCH" localSheetId="1">'CVTv1.2a'!$U$26</definedName>
    <definedName name="CRT_EST_V_BPORCH" localSheetId="0">'CVTv2.1'!#REF!</definedName>
    <definedName name="CRT_EST_V_BPORCH">#REF!</definedName>
    <definedName name="CRT_FIELD_RATE" localSheetId="1">'CVTv1.2a'!$U$57</definedName>
    <definedName name="CRT_FIELD_RATE" localSheetId="0">'CVTv2.1'!#REF!</definedName>
    <definedName name="CRT_FIELD_RATE">#REF!</definedName>
    <definedName name="CRT_FRAME_RATE" localSheetId="1">'CVTv1.2a'!$U$60</definedName>
    <definedName name="CRT_FRAME_RATE" localSheetId="0">'CVTv2.1'!#REF!</definedName>
    <definedName name="CRT_FRAME_RATE">#REF!</definedName>
    <definedName name="CRT_H_BLANK" localSheetId="1">'CVTv1.2a'!$U$44</definedName>
    <definedName name="CRT_H_BLANK" localSheetId="0">'CVTv2.1'!#REF!</definedName>
    <definedName name="CRT_H_BLANK">#REF!</definedName>
    <definedName name="CRT_H_FREQ" localSheetId="1">'CVTv1.2a'!$U$54</definedName>
    <definedName name="CRT_H_FREQ" localSheetId="0">'CVTv2.1'!#REF!</definedName>
    <definedName name="CRT_H_FREQ">#REF!</definedName>
    <definedName name="CRT_H_PERIOD_EST" localSheetId="1">'CVTv1.2a'!$U$20</definedName>
    <definedName name="CRT_H_PERIOD_EST" localSheetId="0">'CVTv2.1'!#REF!</definedName>
    <definedName name="CRT_H_PERIOD_EST">#REF!</definedName>
    <definedName name="CRT_H_TOTAL" localSheetId="1">'CVTv1.2a'!$U$47</definedName>
    <definedName name="CRT_H_TOTAL" localSheetId="0">'CVTv2.1'!#REF!</definedName>
    <definedName name="CRT_H_TOTAL">#REF!</definedName>
    <definedName name="CRT_PIXEL_FREQ" localSheetId="1">'CVTv1.2a'!$U$50</definedName>
    <definedName name="CRT_PIXEL_FREQ" localSheetId="0">'CVTv2.1'!#REF!</definedName>
    <definedName name="CRT_PIXEL_FREQ">#REF!</definedName>
    <definedName name="CRT_TOTAL_V_LINES" localSheetId="1">'CVTv1.2a'!$U$35</definedName>
    <definedName name="CRT_TOTAL_V_LINES" localSheetId="0">'CVTv2.1'!#REF!</definedName>
    <definedName name="CRT_TOTAL_V_LINES">#REF!</definedName>
    <definedName name="DP20MiscOverhead" localSheetId="1">'CVTv1.2a'!$Y$61</definedName>
    <definedName name="DP20MiscOverhead" localSheetId="0">'CVTv2.1'!$Y$58</definedName>
    <definedName name="DP20MiscOverhead">#REF!</definedName>
    <definedName name="DP20MisvOverhead" localSheetId="1">'CVTv1.2a'!$Y$61</definedName>
    <definedName name="DP20MisvOverhead" localSheetId="0">'CVTv2.1'!$Y$58</definedName>
    <definedName name="DP20MisvOverhead">#REF!</definedName>
    <definedName name="DPBitsPerPixel" localSheetId="1">'CVTv1.2a'!$K$30</definedName>
    <definedName name="DPBitsPerPixel" localSheetId="0">'CVTv2.1'!$K$33</definedName>
    <definedName name="DPBitsPerPixel">#REF!</definedName>
    <definedName name="DPLanes" localSheetId="1">'CVTv1.2a'!$K$31</definedName>
    <definedName name="DPLanes" localSheetId="0">'CVTv2.1'!$K$34</definedName>
    <definedName name="DPLanes">#REF!</definedName>
    <definedName name="DPModeEncodingOverhead" localSheetId="1">'CVTv1.2a'!$Y$59</definedName>
    <definedName name="DPModeEncodingOverhead" localSheetId="0">'CVTv2.1'!$Y$56</definedName>
    <definedName name="DPModeEncodingOverhead">#REF!</definedName>
    <definedName name="DPRate" localSheetId="1">'CVTv1.2a'!$K$32</definedName>
    <definedName name="DPRate" localSheetId="0">'CVTv2.1'!$K$35</definedName>
    <definedName name="DPRate">#REF!</definedName>
    <definedName name="DSCBitsPerPixel" localSheetId="1">'CVTv1.2a'!$K$33</definedName>
    <definedName name="DSCBitsPerPixel" localSheetId="0">'CVTv2.1'!$K$36</definedName>
    <definedName name="DSCBitsPerPixel">#REF!</definedName>
    <definedName name="DSCBitsPerPixel_Frac" localSheetId="1">'CVTv1.2a'!$K$34</definedName>
    <definedName name="DSCBitsPerPixel_Frac" localSheetId="0">'CVTv2.1'!$K$37</definedName>
    <definedName name="DSCBitsPerPixel_Frac">#REF!</definedName>
    <definedName name="EARLY_VSYNC_RQD" localSheetId="1">'CVTv1.2a'!#REF!</definedName>
    <definedName name="EARLY_VSYNC_RQD" localSheetId="0">'CVTv2.1'!$K$22</definedName>
    <definedName name="EARLY_VSYNC_RQD">#REF!</definedName>
    <definedName name="FECOverHead" localSheetId="1">'CVTv1.2a'!$Y$60</definedName>
    <definedName name="FECOverHead" localSheetId="0">'CVTv2.1'!$Y$57</definedName>
    <definedName name="FECOverHead">#REF!</definedName>
    <definedName name="FINE_CLOCK_STEP" localSheetId="1">'CVTv1.2a'!$K$159</definedName>
    <definedName name="FINE_CLOCK_STEP" localSheetId="0">'CVTv2.1'!$K$122</definedName>
    <definedName name="FINE_CLOCK_STEP">#REF!</definedName>
    <definedName name="FrameRate_Error" localSheetId="1">'CVTv1.2a'!$Y$57</definedName>
    <definedName name="FrameRate_Error" localSheetId="0">'CVTv2.1'!$Y$54</definedName>
    <definedName name="FrameRate_Error">#REF!</definedName>
    <definedName name="GTF_C_VAR" localSheetId="1">'CVTv1.2a'!$K$132</definedName>
    <definedName name="GTF_C_VAR" localSheetId="0">'CVTv2.1'!#REF!</definedName>
    <definedName name="GTF_C_VAR">#REF!</definedName>
    <definedName name="GTF_J_VAR" localSheetId="1">'CVTv1.2a'!$K$134</definedName>
    <definedName name="GTF_J_VAR" localSheetId="0">'CVTv2.1'!#REF!</definedName>
    <definedName name="GTF_J_VAR">#REF!</definedName>
    <definedName name="GTF_K_VAR" localSheetId="1">'CVTv1.2a'!$K$133</definedName>
    <definedName name="GTF_K_VAR" localSheetId="0">'CVTv2.1'!#REF!</definedName>
    <definedName name="GTF_K_VAR">#REF!</definedName>
    <definedName name="GTF_M_VAR" localSheetId="1">'CVTv1.2a'!$K$131</definedName>
    <definedName name="GTF_M_VAR" localSheetId="0">'CVTv2.1'!#REF!</definedName>
    <definedName name="GTF_M_VAR">#REF!</definedName>
    <definedName name="H_BACK_PORCH" localSheetId="1">'CVTv1.2a'!$Q$71</definedName>
    <definedName name="H_BACK_PORCH" localSheetId="0">'CVTv2.1'!$Q$32</definedName>
    <definedName name="H_BACK_PORCH">#REF!</definedName>
    <definedName name="H_BLANK" localSheetId="1">'CVTv1.2a'!$Q$65</definedName>
    <definedName name="H_BLANK" localSheetId="0">'CVTv2.1'!$Q$26</definedName>
    <definedName name="H_BLANK">#REF!</definedName>
    <definedName name="H_FRONT_PORCH" localSheetId="1">'CVTv1.2a'!$Q$67</definedName>
    <definedName name="H_FRONT_PORCH" localSheetId="0">'CVTv2.1'!$Q$28</definedName>
    <definedName name="H_FRONT_PORCH">#REF!</definedName>
    <definedName name="H_PERIOD_EST" localSheetId="1">'CVTv1.2a'!$Q$52</definedName>
    <definedName name="H_PERIOD_EST" localSheetId="0">'CVTv2.1'!$Q$14</definedName>
    <definedName name="H_PERIOD_EST">#REF!</definedName>
    <definedName name="H_PIXELS" localSheetId="1">'CVTv1.2a'!$K$14</definedName>
    <definedName name="H_PIXELS" localSheetId="0">'CVTv2.1'!$K$14</definedName>
    <definedName name="H_PIXELS">#REF!</definedName>
    <definedName name="H_PIXELS_RND" localSheetId="1">'CVTv1.2a'!$Q$26</definedName>
    <definedName name="H_PIXELS_RND" localSheetId="0">'CVTv2.1'!$U$20</definedName>
    <definedName name="H_PIXELS_RND">#REF!</definedName>
    <definedName name="H_SYNC_PER" localSheetId="1">'CVTv1.2a'!$U$15</definedName>
    <definedName name="H_SYNC_PER" localSheetId="0">'CVTv2.1'!#REF!</definedName>
    <definedName name="H_SYNC_PER">#REF!</definedName>
    <definedName name="H_SYNC_RND" localSheetId="1">'CVTv1.2a'!$Q$69</definedName>
    <definedName name="H_SYNC_RND" localSheetId="0">'CVTv2.1'!$Q$30</definedName>
    <definedName name="H_SYNC_RND">#REF!</definedName>
    <definedName name="IDEAL_DUTY_CYCLE" localSheetId="1">'CVTv1.2a'!$U$38</definedName>
    <definedName name="IDEAL_DUTY_CYCLE" localSheetId="0">'CVTv2.1'!#REF!</definedName>
    <definedName name="IDEAL_DUTY_CYCLE">#REF!</definedName>
    <definedName name="INT_RQD" localSheetId="1">'CVTv1.2a'!$K$17</definedName>
    <definedName name="INT_RQD" localSheetId="0">'CVTv2.1'!#REF!</definedName>
    <definedName name="INT_RQD">#REF!</definedName>
    <definedName name="INTERLACE" localSheetId="1">'CVTv1.2a'!$Q$47</definedName>
    <definedName name="INTERLACE" localSheetId="0">'CVTv2.1'!#REF!</definedName>
    <definedName name="INTERLACE">#REF!</definedName>
    <definedName name="IP_FREQ_RQD" localSheetId="1">'CVTv1.2a'!$K$18</definedName>
    <definedName name="IP_FREQ_RQD" localSheetId="0">'CVTv2.1'!$K$16</definedName>
    <definedName name="IP_FREQ_RQD">#REF!</definedName>
    <definedName name="LEFT_MARGIN" localSheetId="1">'CVTv1.2a'!$Q$29</definedName>
    <definedName name="LEFT_MARGIN" localSheetId="0">'CVTv2.1'!#REF!</definedName>
    <definedName name="LEFT_MARGIN">#REF!</definedName>
    <definedName name="M_PRIME" localSheetId="1">'CVTv1.2a'!$K$136</definedName>
    <definedName name="M_PRIME" localSheetId="0">'CVTv2.1'!#REF!</definedName>
    <definedName name="M_PRIME">#REF!</definedName>
    <definedName name="MARGIN_PER" localSheetId="1">'CVTv1.2a'!$Q$15</definedName>
    <definedName name="MARGIN_PER" localSheetId="0">'CVTv2.1'!#REF!</definedName>
    <definedName name="MARGIN_PER">#REF!</definedName>
    <definedName name="MARGINS_RQD" localSheetId="1">'CVTv1.2a'!$K$16</definedName>
    <definedName name="MARGINS_RQD" localSheetId="0">'CVTv2.1'!#REF!</definedName>
    <definedName name="MARGINS_RQD">#REF!</definedName>
    <definedName name="MIN_V_BPORCH" localSheetId="1">'CVTv1.2a'!$K$123</definedName>
    <definedName name="MIN_V_BPORCH" localSheetId="0">'CVTv2.1'!#REF!</definedName>
    <definedName name="MIN_V_BPORCH">#REF!</definedName>
    <definedName name="MIN_V_FPORCH" localSheetId="1">'CVTv1.2a'!$K$124</definedName>
    <definedName name="MIN_V_FPORCH" localSheetId="0">'CVTv2.1'!#REF!</definedName>
    <definedName name="MIN_V_FPORCH">#REF!</definedName>
    <definedName name="MIN_V_FPORCH_RND" localSheetId="1">'CVTv1.2a'!$Q$16</definedName>
    <definedName name="MIN_V_FPORCH_RND" localSheetId="0">'CVTv2.1'!#REF!</definedName>
    <definedName name="MIN_V_FPORCH_RND">#REF!</definedName>
    <definedName name="MIN_VSYNC_BP" localSheetId="1">'CVTv1.2a'!$U$14</definedName>
    <definedName name="MIN_VSYNC_BP" localSheetId="0">'CVTv2.1'!#REF!</definedName>
    <definedName name="MIN_VSYNC_BP">#REF!</definedName>
    <definedName name="PixelClockPPMAdj" localSheetId="1">'CVTv1.2a'!$K$173</definedName>
    <definedName name="PixelClockPPMAdj" localSheetId="0">'CVTv2.1'!$K$129</definedName>
    <definedName name="PixelClockPPMAdj">#REF!</definedName>
    <definedName name="_xlnm.Print_Area" localSheetId="1">'CVTv1.2a'!$A$42:$M$92</definedName>
    <definedName name="_xlnm.Print_Area" localSheetId="0">'CVTv2.1'!$A$54:$M$93</definedName>
    <definedName name="_xlnm.Print_Titles" localSheetId="1">'CVTv1.2a'!$1:$9</definedName>
    <definedName name="_xlnm.Print_Titles" localSheetId="0">'CVTv2.1'!$1:$9</definedName>
    <definedName name="RB_FIELD_RATE" localSheetId="1">'CVTv1.2a'!$Y$49</definedName>
    <definedName name="RB_FIELD_RATE" localSheetId="0">'CVTv2.1'!#REF!</definedName>
    <definedName name="RB_FIELD_RATE">#REF!</definedName>
    <definedName name="RB_FRAME_RATE" localSheetId="1">'CVTv1.2a'!$Y$52</definedName>
    <definedName name="RB_FRAME_RATE" localSheetId="0">'CVTv2.1'!$U$71</definedName>
    <definedName name="RB_FRAME_RATE">#REF!</definedName>
    <definedName name="RB_H_BLANK" localSheetId="1">'CVTv1.2a'!$Y$14</definedName>
    <definedName name="RB_H_BLANK" localSheetId="0">'CVTv2.1'!$U$79</definedName>
    <definedName name="RB_H_BLANK">#REF!</definedName>
    <definedName name="RB_H_FREQ" localSheetId="1">'CVTv1.2a'!$Y$46</definedName>
    <definedName name="RB_H_FREQ" localSheetId="0">'CVTv2.1'!$U$68</definedName>
    <definedName name="RB_H_FREQ">#REF!</definedName>
    <definedName name="RB_H_PERIOD_EST" localSheetId="1">'CVTv1.2a'!$Y$18</definedName>
    <definedName name="RB_H_PERIOD_EST" localSheetId="0">'CVTv2.1'!$U$32</definedName>
    <definedName name="RB_H_PERIOD_EST">#REF!</definedName>
    <definedName name="RB_H_SYNC" localSheetId="1">'CVTv1.2a'!$Y$13</definedName>
    <definedName name="RB_H_SYNC" localSheetId="0">'CVTv2.1'!$U$78</definedName>
    <definedName name="RB_H_SYNC">#REF!</definedName>
    <definedName name="RB_H_TOTAL" localSheetId="1">'CVTv1.2a'!$Y$36</definedName>
    <definedName name="RB_H_TOTAL" localSheetId="0">'CVTv2.1'!$U$56</definedName>
    <definedName name="RB_H_TOTAL">#REF!</definedName>
    <definedName name="RB_MIN_V_BLANK" localSheetId="1">'CVTv1.2a'!$Y$12</definedName>
    <definedName name="RB_MIN_V_BLANK" localSheetId="0">'CVTv2.1'!$U$77</definedName>
    <definedName name="RB_MIN_V_BLANK">#REF!</definedName>
    <definedName name="RB_MIN_V_BPORCH" localSheetId="1">'CVTv1.2a'!$K$152</definedName>
    <definedName name="RB_MIN_V_BPORCH" localSheetId="0">'CVTv2.1'!$K$117</definedName>
    <definedName name="RB_MIN_V_BPORCH">#REF!</definedName>
    <definedName name="RB_MIN_VBI" localSheetId="1">'CVTv1.2a'!$Y$29</definedName>
    <definedName name="RB_MIN_VBI" localSheetId="0">'CVTv2.1'!$U$42</definedName>
    <definedName name="RB_MIN_VBI">#REF!</definedName>
    <definedName name="RB_PIXEL_FREQ" localSheetId="1">'CVTv1.2a'!$Y$44</definedName>
    <definedName name="RB_PIXEL_FREQ" localSheetId="0">'CVTv2.1'!$U$65</definedName>
    <definedName name="RB_PIXEL_FREQ">#REF!</definedName>
    <definedName name="RB_TOTAL_V_LINES" localSheetId="1">'CVTv1.2a'!$Y$33</definedName>
    <definedName name="RB_TOTAL_V_LINES" localSheetId="0">'CVTv2.1'!$U$46</definedName>
    <definedName name="RB_TOTAL_V_LINES">#REF!</definedName>
    <definedName name="RB_V_FPORCH" localSheetId="1">'CVTv1.2a'!$K$148</definedName>
    <definedName name="RB_V_FPORCH" localSheetId="0">'CVTv2.1'!$K$114</definedName>
    <definedName name="RB_V_FPORCH">#REF!</definedName>
    <definedName name="RB_V3_ADD_V_BLANK" localSheetId="1">'CVTv1.2a'!#REF!</definedName>
    <definedName name="RB_V3_ADD_V_BLANK" localSheetId="0">'CVTv2.1'!$K$23</definedName>
    <definedName name="RB_V3_ADD_V_BLANK">#REF!</definedName>
    <definedName name="RED_BLANK_RQD" localSheetId="1">'CVTv1.2a'!$K$19</definedName>
    <definedName name="RED_BLANK_RQD" localSheetId="0">'CVTv2.1'!$K$17</definedName>
    <definedName name="RED_BLANK_RQD">#REF!</definedName>
    <definedName name="RED_BLANK_VER" localSheetId="1">'CVTv1.2a'!$K$20</definedName>
    <definedName name="RED_BLANK_VER" localSheetId="0">'CVTv2.1'!$K$18</definedName>
    <definedName name="RED_BLANK_VER">#REF!</definedName>
    <definedName name="RED_BLANK_VER2" localSheetId="1">'CVTv1.2a'!$K$20</definedName>
    <definedName name="RED_BLANK_VER2" localSheetId="0">'CVTv2.1'!$K$18</definedName>
    <definedName name="RED_BLANK_VER2">#REF!</definedName>
    <definedName name="RequiredRawDPLinkBW" localSheetId="1">'CVTv1.2a'!$K$37</definedName>
    <definedName name="RequiredRawDPLinkBW" localSheetId="0">'CVTv2.1'!$K$41</definedName>
    <definedName name="RequiredRawDPLinkBW">#REF!</definedName>
    <definedName name="RIGHT_MARGIN" localSheetId="1">'CVTv1.2a'!$Q$31</definedName>
    <definedName name="RIGHT_MARGIN" localSheetId="0">'CVTv2.1'!#REF!</definedName>
    <definedName name="RIGHT_MARGIN">#REF!</definedName>
    <definedName name="TargetDSCBitsPerPixel" localSheetId="1">'CVTv1.2a'!$K$35</definedName>
    <definedName name="TargetDSCBitsPerPixel" localSheetId="0">'CVTv2.1'!$K$39</definedName>
    <definedName name="TargetDSCBitsPerPixel">#REF!</definedName>
    <definedName name="TOP_MARGIN" localSheetId="1">'CVTv1.2a'!$Q$41</definedName>
    <definedName name="TOP_MARGIN" localSheetId="0">'CVTv2.1'!#REF!</definedName>
    <definedName name="TOP_MARGIN">#REF!</definedName>
    <definedName name="TOTAL_ACTIVE_PIXELS" localSheetId="1">'CVTv1.2a'!$Q$34</definedName>
    <definedName name="TOTAL_ACTIVE_PIXELS" localSheetId="0">'CVTv2.1'!$U$22</definedName>
    <definedName name="TOTAL_ACTIVE_PIXELS">#REF!</definedName>
    <definedName name="TOTAL_PIXELS" localSheetId="1">'CVTv1.2a'!$Q$63</definedName>
    <definedName name="TOTAL_PIXELS" localSheetId="0">'CVTv2.1'!$Q$24</definedName>
    <definedName name="TOTAL_PIXELS">#REF!</definedName>
    <definedName name="TOTAL_V_LINES" localSheetId="1">'CVTv1.2a'!$Q$74</definedName>
    <definedName name="TOTAL_V_LINES" localSheetId="0">'CVTv2.1'!$Q$35</definedName>
    <definedName name="TOTAL_V_LINES">#REF!</definedName>
    <definedName name="TransportOverhead" localSheetId="1">'CVTv1.2a'!$Y$85</definedName>
    <definedName name="TransportOverhead" localSheetId="0">'CVTv2.1'!$Y$82</definedName>
    <definedName name="TransportOverhead">#REF!</definedName>
    <definedName name="V_BACK_PORCH" localSheetId="1">'CVTv1.2a'!$Q$82</definedName>
    <definedName name="V_BACK_PORCH" localSheetId="0">'CVTv2.1'!$U$50</definedName>
    <definedName name="V_BACK_PORCH">#REF!</definedName>
    <definedName name="V_BACK_PORCH_EST" localSheetId="0">'CVTv2.1'!$U$49</definedName>
    <definedName name="V_BLANK" localSheetId="1">'CVTv1.2a'!$Q$76</definedName>
    <definedName name="V_BLANK" localSheetId="0">'CVTv2.1'!$Q$37</definedName>
    <definedName name="V_BLANK">#REF!</definedName>
    <definedName name="V_FIELD_RATE_RQD" localSheetId="1">'CVTv1.2a'!$Q$20</definedName>
    <definedName name="V_FIELD_RATE_RQD" localSheetId="0">'CVTv2.1'!$U$17</definedName>
    <definedName name="V_FIELD_RATE_RQD">#REF!</definedName>
    <definedName name="V_FRONT_PORCH" localSheetId="1">'CVTv1.2a'!$Q$78</definedName>
    <definedName name="V_FRONT_PORCH" localSheetId="0">'CVTv2.1'!$Q$39</definedName>
    <definedName name="V_FRONT_PORCH">#REF!</definedName>
    <definedName name="V_LINES" localSheetId="1">'CVTv1.2a'!$K$15</definedName>
    <definedName name="V_LINES" localSheetId="0">'CVTv2.1'!$K$15</definedName>
    <definedName name="V_LINES">#REF!</definedName>
    <definedName name="V_LINES_RND" localSheetId="1">'CVTv1.2a'!$Q$37</definedName>
    <definedName name="V_LINES_RND" localSheetId="0">'CVTv2.1'!$U$25</definedName>
    <definedName name="V_LINES_RND">#REF!</definedName>
    <definedName name="V_SYNC" localSheetId="1">'CVTv1.2a'!$K$114</definedName>
    <definedName name="V_SYNC" localSheetId="0">'CVTv2.1'!$K$103</definedName>
    <definedName name="V_SYNC">#REF!</definedName>
    <definedName name="V_SYNC_BP" localSheetId="1">'CVTv1.2a'!$U$28</definedName>
    <definedName name="V_SYNC_BP" localSheetId="0">'CVTv2.1'!#REF!</definedName>
    <definedName name="V_SYNC_BP">#REF!</definedName>
    <definedName name="V_SYNC_RND" localSheetId="1">'CVTv1.2a'!$Q$80</definedName>
    <definedName name="V_SYNC_RND" localSheetId="0">'CVTv2.1'!$Q$41</definedName>
    <definedName name="V_SYNC_RND">#REF!</definedName>
    <definedName name="VBI_LINES" localSheetId="1">'CVTv1.2a'!$Y$24</definedName>
    <definedName name="VBI_LINES" localSheetId="0">'CVTv2.1'!$U$37</definedName>
    <definedName name="VBI_LINES">#REF!</definedName>
    <definedName name="Version" localSheetId="1">'CVTv1.2a'!$L$19</definedName>
    <definedName name="Version" localSheetId="0">'CVTv2.1'!$L$17</definedName>
    <definedName name="Version">#REF!</definedName>
    <definedName name="VIDEO_OPT" localSheetId="1">'CVTv1.2a'!#REF!</definedName>
    <definedName name="VIDEO_OPT" localSheetId="0">'CVTv2.1'!$K$20</definedName>
    <definedName name="VIDEO_OPT">#REF!</definedName>
    <definedName name="VSYNC_WIDTH_TABLE" localSheetId="1">'CVTv1.2a'!$D$164:$E$171</definedName>
    <definedName name="VSYNC_WIDTH_TABLE" localSheetId="0">'CVTv2.1'!$D$128:$E$128</definedName>
    <definedName name="VSYNC_WIDTH_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5" l="1"/>
  <c r="U29" i="5"/>
  <c r="U75" i="5" s="1"/>
  <c r="H23" i="5"/>
  <c r="Q28" i="5"/>
  <c r="U77" i="5" l="1"/>
  <c r="K39" i="5"/>
  <c r="K47" i="5"/>
  <c r="AB23" i="6" l="1"/>
  <c r="AB14" i="6"/>
  <c r="AB22" i="6"/>
  <c r="AB24" i="6"/>
  <c r="M174" i="6"/>
  <c r="M159" i="6"/>
  <c r="M158" i="6"/>
  <c r="M154" i="6"/>
  <c r="M153" i="6"/>
  <c r="M150" i="6"/>
  <c r="M149" i="6"/>
  <c r="M147" i="6"/>
  <c r="M145" i="6"/>
  <c r="M144" i="6"/>
  <c r="M143" i="6"/>
  <c r="M142" i="6"/>
  <c r="M134" i="6"/>
  <c r="M133" i="6"/>
  <c r="M132" i="6"/>
  <c r="M131" i="6"/>
  <c r="M124" i="6"/>
  <c r="M123" i="6"/>
  <c r="M121" i="6"/>
  <c r="M115" i="6"/>
  <c r="M108" i="6"/>
  <c r="M107" i="6"/>
  <c r="K99" i="5"/>
  <c r="M99" i="5" s="1"/>
  <c r="AB25" i="6"/>
  <c r="M129" i="5"/>
  <c r="M130" i="5"/>
  <c r="M122" i="5"/>
  <c r="M118" i="5"/>
  <c r="M115" i="5"/>
  <c r="M112" i="5"/>
  <c r="M110" i="5"/>
  <c r="M109" i="5"/>
  <c r="M106" i="5"/>
  <c r="M103" i="5"/>
  <c r="M100" i="5"/>
  <c r="M101" i="5"/>
  <c r="B41" i="5"/>
  <c r="Y12" i="6"/>
  <c r="U14" i="6"/>
  <c r="AC14" i="6"/>
  <c r="Q15" i="6"/>
  <c r="U15" i="6"/>
  <c r="Y13" i="6"/>
  <c r="Q16" i="6"/>
  <c r="AB18" i="6"/>
  <c r="AB19" i="6"/>
  <c r="AB20" i="6"/>
  <c r="AB21" i="6"/>
  <c r="O22" i="6"/>
  <c r="O28" i="6" s="1"/>
  <c r="O33" i="6" s="1"/>
  <c r="O36" i="6" s="1"/>
  <c r="O39" i="6" s="1"/>
  <c r="O46" i="6" s="1"/>
  <c r="Q37" i="6"/>
  <c r="L15" i="6" s="1"/>
  <c r="K35" i="6"/>
  <c r="B37" i="6" s="1"/>
  <c r="B38" i="6"/>
  <c r="Q47" i="6"/>
  <c r="T50" i="6"/>
  <c r="D49" i="6"/>
  <c r="E49" i="6"/>
  <c r="I49" i="6"/>
  <c r="K49" i="6"/>
  <c r="D51" i="6"/>
  <c r="E51" i="6"/>
  <c r="I51" i="6"/>
  <c r="K51" i="6"/>
  <c r="F54" i="6"/>
  <c r="F56" i="6"/>
  <c r="F57" i="6"/>
  <c r="F76" i="6"/>
  <c r="H76" i="6"/>
  <c r="J76" i="6"/>
  <c r="L76" i="6"/>
  <c r="I77" i="6"/>
  <c r="M77" i="6"/>
  <c r="I78" i="6"/>
  <c r="M78" i="6"/>
  <c r="F80" i="6"/>
  <c r="H80" i="6"/>
  <c r="J80" i="6"/>
  <c r="L80" i="6"/>
  <c r="I81" i="6"/>
  <c r="M81" i="6"/>
  <c r="I82" i="6"/>
  <c r="M82" i="6"/>
  <c r="I83" i="6"/>
  <c r="M83" i="6"/>
  <c r="I84" i="6"/>
  <c r="M84" i="6"/>
  <c r="I85" i="6"/>
  <c r="M85" i="6"/>
  <c r="I86" i="6"/>
  <c r="M86" i="6"/>
  <c r="C87" i="6"/>
  <c r="K106" i="6"/>
  <c r="Q14" i="6" s="1"/>
  <c r="K136" i="6"/>
  <c r="K137" i="6"/>
  <c r="K141" i="6"/>
  <c r="Y14" i="6" s="1"/>
  <c r="K148" i="6"/>
  <c r="K152" i="6"/>
  <c r="Y28" i="6" s="1"/>
  <c r="K157" i="6"/>
  <c r="X41" i="6" s="1"/>
  <c r="E165" i="6"/>
  <c r="E166" i="6" s="1"/>
  <c r="E167" i="6" s="1"/>
  <c r="E169" i="6" s="1"/>
  <c r="K173" i="6"/>
  <c r="Q20" i="6" s="1"/>
  <c r="K175" i="6"/>
  <c r="M175" i="6" s="1"/>
  <c r="M96" i="6" l="1"/>
  <c r="Q44" i="6"/>
  <c r="L86" i="6" s="1"/>
  <c r="Q41" i="6"/>
  <c r="J82" i="6" s="1"/>
  <c r="L78" i="6"/>
  <c r="J49" i="6"/>
  <c r="J78" i="6"/>
  <c r="X42" i="6"/>
  <c r="S19" i="6"/>
  <c r="S22" i="6" s="1"/>
  <c r="S31" i="6" s="1"/>
  <c r="S34" i="6" s="1"/>
  <c r="S37" i="6" s="1"/>
  <c r="S41" i="6" s="1"/>
  <c r="S46" i="6" s="1"/>
  <c r="S49" i="6" s="1"/>
  <c r="S53" i="6" s="1"/>
  <c r="S56" i="6" s="1"/>
  <c r="S59" i="6" s="1"/>
  <c r="W17" i="6"/>
  <c r="W20" i="6" s="1"/>
  <c r="W27" i="6" s="1"/>
  <c r="W32" i="6" s="1"/>
  <c r="W35" i="6" s="1"/>
  <c r="W39" i="6" s="1"/>
  <c r="W45" i="6" s="1"/>
  <c r="W48" i="6" s="1"/>
  <c r="W51" i="6" s="1"/>
  <c r="Q26" i="6"/>
  <c r="J53" i="6"/>
  <c r="E170" i="6"/>
  <c r="E171" i="6" s="1"/>
  <c r="AB16" i="6"/>
  <c r="F49" i="6"/>
  <c r="K121" i="5"/>
  <c r="K117" i="5"/>
  <c r="K114" i="5"/>
  <c r="K105" i="5"/>
  <c r="X20" i="5"/>
  <c r="X19" i="5"/>
  <c r="X18" i="5"/>
  <c r="X17" i="5"/>
  <c r="X12" i="5"/>
  <c r="F66" i="5"/>
  <c r="U25" i="5"/>
  <c r="X14" i="5" s="1"/>
  <c r="Y12" i="5"/>
  <c r="K131" i="5"/>
  <c r="M131" i="5" s="1"/>
  <c r="U12" i="5"/>
  <c r="U20" i="5" s="1"/>
  <c r="C91" i="5"/>
  <c r="F69" i="5"/>
  <c r="F68" i="5"/>
  <c r="B42" i="5"/>
  <c r="S19" i="5"/>
  <c r="S24" i="5" s="1"/>
  <c r="S27" i="5" s="1"/>
  <c r="S31" i="5" s="1"/>
  <c r="S34" i="5" s="1"/>
  <c r="S36" i="5" s="1"/>
  <c r="X16" i="5"/>
  <c r="U78" i="5"/>
  <c r="Q30" i="5" s="1"/>
  <c r="U76" i="5"/>
  <c r="M114" i="5" l="1"/>
  <c r="M121" i="5"/>
  <c r="T62" i="5"/>
  <c r="T63" i="5"/>
  <c r="U79" i="5"/>
  <c r="M105" i="5"/>
  <c r="M117" i="5"/>
  <c r="Q29" i="6"/>
  <c r="Q31" i="6"/>
  <c r="U20" i="6"/>
  <c r="U26" i="6" s="1"/>
  <c r="L82" i="6"/>
  <c r="Y18" i="6"/>
  <c r="Y25" i="6" s="1"/>
  <c r="J86" i="6"/>
  <c r="L14" i="6"/>
  <c r="F48" i="6"/>
  <c r="H61" i="6"/>
  <c r="J61" i="6"/>
  <c r="AB15" i="6"/>
  <c r="U35" i="5"/>
  <c r="U22" i="5"/>
  <c r="K129" i="5"/>
  <c r="U17" i="5" s="1"/>
  <c r="F61" i="5"/>
  <c r="J84" i="5"/>
  <c r="L15" i="5"/>
  <c r="F60" i="5"/>
  <c r="L14" i="5"/>
  <c r="J73" i="5"/>
  <c r="H73" i="5"/>
  <c r="X13" i="5"/>
  <c r="J65" i="5"/>
  <c r="U32" i="5" l="1"/>
  <c r="U37" i="5" s="1"/>
  <c r="U41" i="5" s="1"/>
  <c r="Q26" i="5"/>
  <c r="U56" i="5"/>
  <c r="Q24" i="5" s="1"/>
  <c r="J72" i="5" s="1"/>
  <c r="M98" i="5"/>
  <c r="Y24" i="6"/>
  <c r="Q34" i="6"/>
  <c r="Y36" i="6" s="1"/>
  <c r="J74" i="6"/>
  <c r="H74" i="6"/>
  <c r="J70" i="6"/>
  <c r="H70" i="6"/>
  <c r="Q52" i="6"/>
  <c r="U38" i="6" s="1"/>
  <c r="U27" i="6"/>
  <c r="F55" i="6"/>
  <c r="K114" i="6" s="1"/>
  <c r="Q80" i="6" s="1"/>
  <c r="A43" i="6"/>
  <c r="S40" i="5"/>
  <c r="S45" i="5" s="1"/>
  <c r="F67" i="5"/>
  <c r="Q41" i="5" s="1"/>
  <c r="A55" i="5"/>
  <c r="S48" i="5" l="1"/>
  <c r="S52" i="5" s="1"/>
  <c r="S55" i="5" s="1"/>
  <c r="S58" i="5" s="1"/>
  <c r="S61" i="5" s="1"/>
  <c r="S67" i="5" s="1"/>
  <c r="S70" i="5" s="1"/>
  <c r="J89" i="5"/>
  <c r="U42" i="5"/>
  <c r="U43" i="5" s="1"/>
  <c r="Q43" i="5" s="1"/>
  <c r="Q14" i="5"/>
  <c r="U38" i="5"/>
  <c r="U44" i="6"/>
  <c r="U47" i="6" s="1"/>
  <c r="U50" i="6" s="1"/>
  <c r="U54" i="6" s="1"/>
  <c r="F66" i="6"/>
  <c r="L84" i="6"/>
  <c r="Y29" i="6"/>
  <c r="Y30" i="6" s="1"/>
  <c r="J84" i="6"/>
  <c r="U28" i="6"/>
  <c r="AB17" i="6"/>
  <c r="AA32" i="6" s="1"/>
  <c r="H55" i="6"/>
  <c r="H67" i="5"/>
  <c r="X15" i="5"/>
  <c r="U46" i="5" l="1"/>
  <c r="U49" i="5"/>
  <c r="U50" i="5" s="1"/>
  <c r="Q37" i="5"/>
  <c r="Q65" i="6"/>
  <c r="H65" i="6" s="1"/>
  <c r="D22" i="6"/>
  <c r="J22" i="6"/>
  <c r="Q63" i="6"/>
  <c r="Q69" i="6" s="1"/>
  <c r="J72" i="6" s="1"/>
  <c r="U51" i="6"/>
  <c r="Y33" i="6"/>
  <c r="Q76" i="6"/>
  <c r="U32" i="6"/>
  <c r="U35" i="6"/>
  <c r="U57" i="6" s="1"/>
  <c r="U60" i="6" s="1"/>
  <c r="U64" i="5" l="1"/>
  <c r="H64" i="6"/>
  <c r="J64" i="6"/>
  <c r="J65" i="6"/>
  <c r="Y43" i="6"/>
  <c r="Y42" i="6"/>
  <c r="F69" i="6"/>
  <c r="F68" i="6"/>
  <c r="J60" i="6"/>
  <c r="H72" i="6"/>
  <c r="H60" i="6"/>
  <c r="L81" i="6"/>
  <c r="Q74" i="6"/>
  <c r="Y41" i="6"/>
  <c r="J81" i="6"/>
  <c r="H72" i="5"/>
  <c r="F77" i="5"/>
  <c r="H76" i="5"/>
  <c r="J76" i="5"/>
  <c r="H79" i="5"/>
  <c r="J79" i="5"/>
  <c r="U63" i="5" l="1"/>
  <c r="Q35" i="5"/>
  <c r="J83" i="5" s="1"/>
  <c r="U62" i="5"/>
  <c r="U65" i="5" s="1"/>
  <c r="U68" i="5" s="1"/>
  <c r="J87" i="5"/>
  <c r="J77" i="6"/>
  <c r="L77" i="6"/>
  <c r="Y44" i="6"/>
  <c r="Q60" i="6" s="1"/>
  <c r="K37" i="6" s="1"/>
  <c r="K38" i="6" s="1"/>
  <c r="F60" i="6" l="1"/>
  <c r="A45" i="6" s="1"/>
  <c r="F61" i="6"/>
  <c r="F65" i="6"/>
  <c r="F64" i="6"/>
  <c r="F53" i="6"/>
  <c r="F74" i="6"/>
  <c r="F70" i="6"/>
  <c r="F52" i="6"/>
  <c r="K36" i="6"/>
  <c r="F72" i="6"/>
  <c r="Y46" i="6"/>
  <c r="Y49" i="6" s="1"/>
  <c r="Y52" i="6" s="1"/>
  <c r="Q58" i="6" s="1"/>
  <c r="Q21" i="5"/>
  <c r="U71" i="5"/>
  <c r="Q19" i="5" s="1"/>
  <c r="Q17" i="5"/>
  <c r="F84" i="5" s="1"/>
  <c r="Q57" i="6" l="1"/>
  <c r="J51" i="6" s="1"/>
  <c r="Q55" i="6"/>
  <c r="K41" i="5"/>
  <c r="K42" i="5" s="1"/>
  <c r="F51" i="6"/>
  <c r="G18" i="6"/>
  <c r="F87" i="5"/>
  <c r="F89" i="5"/>
  <c r="F79" i="5"/>
  <c r="F72" i="5"/>
  <c r="X21" i="5" s="1"/>
  <c r="F65" i="5"/>
  <c r="F73" i="5"/>
  <c r="F64" i="5"/>
  <c r="K40" i="5"/>
  <c r="F76" i="5"/>
  <c r="F83" i="5"/>
  <c r="F62" i="5"/>
  <c r="F63" i="5"/>
  <c r="G16" i="5"/>
  <c r="K52" i="5" l="1"/>
  <c r="K49" i="5"/>
  <c r="K51" i="5" s="1"/>
  <c r="K48" i="5"/>
  <c r="K50" i="5" s="1"/>
  <c r="W25" i="5"/>
  <c r="J25" i="5" s="1"/>
  <c r="F82" i="6"/>
  <c r="H86" i="6"/>
  <c r="H82" i="6"/>
  <c r="H78" i="6"/>
  <c r="H84" i="6"/>
  <c r="H81" i="6"/>
  <c r="H77" i="6"/>
  <c r="F77" i="6"/>
  <c r="F81" i="6"/>
  <c r="F78" i="6"/>
  <c r="F50" i="6"/>
  <c r="F86" i="6"/>
  <c r="F84" i="6"/>
  <c r="D25" i="5" l="1"/>
  <c r="A57" i="5" s="1"/>
  <c r="Q71" i="6" l="1"/>
  <c r="Q67" i="6" s="1"/>
  <c r="H73" i="6" l="1"/>
  <c r="J71" i="6"/>
  <c r="H71" i="6"/>
  <c r="F71" i="6"/>
  <c r="J73" i="6"/>
  <c r="F73" i="6"/>
  <c r="Q78" i="6" l="1"/>
  <c r="Q82" i="6" s="1"/>
  <c r="J85" i="6" s="1"/>
  <c r="H85" i="6" l="1"/>
  <c r="F85" i="6"/>
  <c r="L85" i="6"/>
  <c r="J83" i="6"/>
  <c r="H83" i="6"/>
  <c r="F83" i="6"/>
  <c r="L83" i="6"/>
  <c r="H78" i="5" l="1"/>
  <c r="F78" i="5"/>
  <c r="Q32" i="5"/>
  <c r="F80" i="5" s="1"/>
  <c r="J78" i="5"/>
  <c r="J80" i="5" l="1"/>
  <c r="U59" i="5"/>
  <c r="H80" i="5"/>
  <c r="F90" i="5" l="1"/>
  <c r="Q39" i="5"/>
  <c r="J90" i="5"/>
  <c r="F88" i="5" l="1"/>
  <c r="J88" i="5"/>
  <c r="U53" i="5"/>
</calcChain>
</file>

<file path=xl/sharedStrings.xml><?xml version="1.0" encoding="utf-8"?>
<sst xmlns="http://schemas.openxmlformats.org/spreadsheetml/2006/main" count="666" uniqueCount="382">
  <si>
    <t>Note:</t>
  </si>
  <si>
    <t>n</t>
  </si>
  <si>
    <t>HOR PIXELS</t>
  </si>
  <si>
    <t>PIXELS</t>
  </si>
  <si>
    <t>VER PIXELS</t>
  </si>
  <si>
    <t>LINES</t>
  </si>
  <si>
    <t>HOR FREQUENCY</t>
  </si>
  <si>
    <t>kHz</t>
  </si>
  <si>
    <t>(Actual value =)</t>
  </si>
  <si>
    <t>Hz</t>
  </si>
  <si>
    <t xml:space="preserve">Total lines = </t>
  </si>
  <si>
    <t>PIXEL CLOCK</t>
  </si>
  <si>
    <t>MHz</t>
  </si>
  <si>
    <t xml:space="preserve">CHARACTER WIDTH </t>
  </si>
  <si>
    <t>ns</t>
  </si>
  <si>
    <t>Total number of pixels=</t>
  </si>
  <si>
    <t>SCAN TYPE</t>
  </si>
  <si>
    <t>PREDICTED H BLANK DUTY CYCLE</t>
  </si>
  <si>
    <t>%</t>
  </si>
  <si>
    <t>us</t>
  </si>
  <si>
    <t>CHARS</t>
  </si>
  <si>
    <t>ACTUAL HOR BLANK DUTY CYCLE</t>
  </si>
  <si>
    <t>ACT. HOR BLNK+MARGIN DUTY CYCLE</t>
  </si>
  <si>
    <t xml:space="preserve">H LEFT MARGIN </t>
  </si>
  <si>
    <t xml:space="preserve">H FRONT PORCH </t>
  </si>
  <si>
    <t>H BACK PORCH</t>
  </si>
  <si>
    <t>H RIGHT MARGIN</t>
  </si>
  <si>
    <t>ms</t>
  </si>
  <si>
    <t>V TOP MARGIN</t>
  </si>
  <si>
    <t>V FRONT PORCH</t>
  </si>
  <si>
    <t>V BACK PORCH</t>
  </si>
  <si>
    <t>V BOTTOM MARGIN</t>
  </si>
  <si>
    <t xml:space="preserve">Side MARGINs are proportional to the ratio of image H/V pixels </t>
  </si>
  <si>
    <t>GIVE:</t>
  </si>
  <si>
    <t>Vertical sync width (in lines) will be rounded down to nearest integer</t>
  </si>
  <si>
    <t>Horizontal sync width will be rounded to nearest char cell boundary</t>
  </si>
  <si>
    <t xml:space="preserve">Vertical blanking time will rounded to nearest integer number of lines </t>
  </si>
  <si>
    <t>5) Definition of Horizontal blanking time limitation:</t>
  </si>
  <si>
    <t>Generalized blanking limitation formula used of the form:</t>
  </si>
  <si>
    <t xml:space="preserve">&lt;H BLANKING TIME (%)&gt; =C - ( M / Fh)  </t>
  </si>
  <si>
    <t>Where:</t>
  </si>
  <si>
    <t>HOR TOTAL</t>
  </si>
  <si>
    <t>HOR ADDR</t>
  </si>
  <si>
    <t>HOR BLANK</t>
  </si>
  <si>
    <t>HOR BLANK+MARGIN</t>
  </si>
  <si>
    <t>HOR SYNC</t>
  </si>
  <si>
    <t>VER TOTAL</t>
  </si>
  <si>
    <t>VER ADDR</t>
  </si>
  <si>
    <t>VER BLANK</t>
  </si>
  <si>
    <t>VER SYNC</t>
  </si>
  <si>
    <t>(from GTF blanking formula)</t>
  </si>
  <si>
    <t>ACTUAL VER FREQUENCY</t>
  </si>
  <si>
    <t>M' = K / 256 * M</t>
  </si>
  <si>
    <t>C' = ( ( C - J ) * K / 256 ) + J</t>
  </si>
  <si>
    <t>REDUCED BLANKING SCRATCH PAD:</t>
  </si>
  <si>
    <t>(Actual value)</t>
  </si>
  <si>
    <t>COMMON TIMING PARAMETERS:</t>
  </si>
  <si>
    <t>RESULTS:</t>
  </si>
  <si>
    <t>Actual Pixel Clock (MHz):</t>
  </si>
  <si>
    <t>Actual Vertical Frequency (Hz):</t>
  </si>
  <si>
    <t>Actual Horizontal Frequency (kHz):</t>
  </si>
  <si>
    <t>Horizontal Total (Pixels):</t>
  </si>
  <si>
    <t>Horizontal Blanking (Pixels):</t>
  </si>
  <si>
    <t>Vertical Total (lines):</t>
  </si>
  <si>
    <t>Hor Front Porch:</t>
  </si>
  <si>
    <t>Hor Sync:</t>
  </si>
  <si>
    <t>Hor Back Porch:</t>
  </si>
  <si>
    <t>Vertical Blanking (lines):</t>
  </si>
  <si>
    <t>Ver Front Porch:</t>
  </si>
  <si>
    <t>Ver Sync:</t>
  </si>
  <si>
    <t>Ver Back Porch:</t>
  </si>
  <si>
    <t>STATUS:</t>
  </si>
  <si>
    <t>ASPECT RATIO</t>
  </si>
  <si>
    <t>STANDARD TIMING:</t>
  </si>
  <si>
    <t>REDUCED BLANKING TIMING:</t>
  </si>
  <si>
    <t>HORIZONTAL PIXELS</t>
  </si>
  <si>
    <t>DETERMINE LEFT &amp; RIGHT BORDERS</t>
  </si>
  <si>
    <t>FIND TOTAL ACTIVE PIXELS</t>
  </si>
  <si>
    <t>FIND NUMBER OF LINES PER FIELD</t>
  </si>
  <si>
    <t>FIND TOP &amp; BOTTOM MARGINS</t>
  </si>
  <si>
    <t>INTERLACE</t>
  </si>
  <si>
    <t>CONSTANTS:</t>
  </si>
  <si>
    <t>SPEC STEP #:</t>
  </si>
  <si>
    <t>Estimated Horizontal Frequency (kHz):</t>
  </si>
  <si>
    <t xml:space="preserve">H_PERIOD_EST = </t>
  </si>
  <si>
    <t xml:space="preserve">ACT_H_FREQ = </t>
  </si>
  <si>
    <t xml:space="preserve">ACT_FRAME_RATE = </t>
  </si>
  <si>
    <t xml:space="preserve">ACT_PIXEL_FREQ = </t>
  </si>
  <si>
    <t xml:space="preserve">TOTAL_PIXELS = </t>
  </si>
  <si>
    <t xml:space="preserve">H_BLANK = </t>
  </si>
  <si>
    <t xml:space="preserve">H_FRONT_PORCH = </t>
  </si>
  <si>
    <t xml:space="preserve">H_SYNC_RND = </t>
  </si>
  <si>
    <t xml:space="preserve">H_BACK_PORCH = </t>
  </si>
  <si>
    <t xml:space="preserve">TOTAL_V_LINES = </t>
  </si>
  <si>
    <t xml:space="preserve">V_BLANK = </t>
  </si>
  <si>
    <t xml:space="preserve">V_FRONT_PORCH = </t>
  </si>
  <si>
    <t xml:space="preserve">V_SYNC_RND = </t>
  </si>
  <si>
    <t xml:space="preserve">H_PIXELS_RND = </t>
  </si>
  <si>
    <t xml:space="preserve">LEFT_MARGIN = </t>
  </si>
  <si>
    <t xml:space="preserve">RIGHT_MARGIN = </t>
  </si>
  <si>
    <t xml:space="preserve">TOTAL_ACTIVE_PIXELS = </t>
  </si>
  <si>
    <t xml:space="preserve">V_LINES_RND = </t>
  </si>
  <si>
    <t xml:space="preserve">TOP_MARGIN = </t>
  </si>
  <si>
    <t xml:space="preserve">BOT_MARGIN = </t>
  </si>
  <si>
    <t xml:space="preserve">INTERLACE = </t>
  </si>
  <si>
    <t>V_SYNC_BP</t>
  </si>
  <si>
    <t>IDEAL_DUTY_CYCLE</t>
  </si>
  <si>
    <t xml:space="preserve">VBI_LINES = </t>
  </si>
  <si>
    <t>H_SYNC_PER (%) =</t>
  </si>
  <si>
    <t>RB_MIN_V_BLANK (us) =</t>
  </si>
  <si>
    <t>RB_H_SYNC (Pixels) =</t>
  </si>
  <si>
    <t>RB_H_BLANK (Pixels) =</t>
  </si>
  <si>
    <t>CELL_GRAN_RND (Pixels) =</t>
  </si>
  <si>
    <t>MARGIN_PER (%) =</t>
  </si>
  <si>
    <t xml:space="preserve">V_FIELD_RATE (Hz) = </t>
  </si>
  <si>
    <t>REQUIRED FIELD RATE</t>
  </si>
  <si>
    <t>Estimated H period =</t>
  </si>
  <si>
    <t>Back porch =</t>
  </si>
  <si>
    <t>FIND PIXEL CLOCK FREQUENCY (MHz):</t>
  </si>
  <si>
    <t>Non-rounded value =</t>
  </si>
  <si>
    <t>FIND ACTUAL HORIZONTAL FREQUENCY (kHz):</t>
  </si>
  <si>
    <t xml:space="preserve">Horiz. freq = </t>
  </si>
  <si>
    <t>FIND ACTUAL FIELD RATE (Hz):</t>
  </si>
  <si>
    <t>FIND ACTUAL VERTICAL  FRAME FREQUENCY (Hz):</t>
  </si>
  <si>
    <t>ESTIMATE HORIZ. PERIOD (us):</t>
  </si>
  <si>
    <t>FIND NUMBER OF LINES IN (SYNC + BACK PORCH):</t>
  </si>
  <si>
    <t>FIND NUMBER OF LINES IN BACK PORCH (Lines):</t>
  </si>
  <si>
    <t>FIND TOTAL NUMBER OF LINES IN VERTICAL FIELD:</t>
  </si>
  <si>
    <t>FIND IDEAL BLANKING DUTY CYCLE FROM FORMULA (%):</t>
  </si>
  <si>
    <t>FIND BLANKING TIME TO NEAREST CHAR CELL (Pixels):</t>
  </si>
  <si>
    <t>FIND TOTAL NUMBER OF PIXELS IN A LINE (Pixels):</t>
  </si>
  <si>
    <t>FIND NUMBER OF LINES IN VERTICAL BLANKING:</t>
  </si>
  <si>
    <t>ACT_FIELD_RATE =</t>
  </si>
  <si>
    <t>Actual vertical field rate =</t>
  </si>
  <si>
    <t>Actual vertical frame rate =</t>
  </si>
  <si>
    <t>CHECKS:</t>
  </si>
  <si>
    <t>ERROR/WARNING MESSAGE</t>
  </si>
  <si>
    <t>Unlock Password: VESACVT</t>
  </si>
  <si>
    <t>VESA COORDINATED VIDEO TIMING</t>
  </si>
  <si>
    <t xml:space="preserve">GENERATOR </t>
  </si>
  <si>
    <t>1)</t>
  </si>
  <si>
    <t>Custom</t>
  </si>
  <si>
    <t>Reserved</t>
  </si>
  <si>
    <t>CHECK VERTICAL BLANKING IS SUFFICENT</t>
  </si>
  <si>
    <t>ACT_VBI_LINES =</t>
  </si>
  <si>
    <t>Description</t>
  </si>
  <si>
    <t>Standard CRT Based Timing (CVT-GTF)</t>
  </si>
  <si>
    <t>HSYNC POLARITY</t>
  </si>
  <si>
    <t>VSYNC POLARITY</t>
  </si>
  <si>
    <t>NEGATIVE</t>
  </si>
  <si>
    <t>POSITIVE</t>
  </si>
  <si>
    <t>16:9</t>
  </si>
  <si>
    <t>4:3</t>
  </si>
  <si>
    <t>16:10</t>
  </si>
  <si>
    <t>15:9</t>
  </si>
  <si>
    <t>5:4</t>
  </si>
  <si>
    <t>Minimum VBI Lines=</t>
  </si>
  <si>
    <t>STANDARD CRT TIMING SCRATCH PAD:</t>
  </si>
  <si>
    <t>Estimated V_SYNC_BP</t>
  </si>
  <si>
    <t>PIXEL CLOCK STEP (MHz):</t>
  </si>
  <si>
    <t xml:space="preserve">MIN_VSYNC_BP (uS) = </t>
  </si>
  <si>
    <t>Top/ bottom MARGIN size as % of height  (%)  {DEFAULT = 1.8}</t>
  </si>
  <si>
    <t>ASPECT RATIO VARIABLES:</t>
  </si>
  <si>
    <t>Hsync</t>
  </si>
  <si>
    <t>Vsync</t>
  </si>
  <si>
    <t>VSYNC WIDTH</t>
  </si>
  <si>
    <t>HSYNC / VSYNC POLARITY</t>
  </si>
  <si>
    <t>Lines</t>
  </si>
  <si>
    <t>Fixed number of clocks for horizontal blanking</t>
  </si>
  <si>
    <t>y</t>
  </si>
  <si>
    <t xml:space="preserve">Vertical front porch </t>
  </si>
  <si>
    <t xml:space="preserve">Vertical back porch lines </t>
  </si>
  <si>
    <t>Comments, bugs, call VESA office</t>
  </si>
  <si>
    <t>Lanes</t>
  </si>
  <si>
    <t>Gbps</t>
  </si>
  <si>
    <t>bpp</t>
  </si>
  <si>
    <t>Required Data Bandwidth for the timing</t>
  </si>
  <si>
    <t>MINIMUM REFRESH RATE +VE COMPENSATION ADJUSTMENT IN PPM :</t>
  </si>
  <si>
    <t>Target Display Stream Compression bits per pixel (0 means no compression)</t>
  </si>
  <si>
    <t>Blanking pixels =</t>
  </si>
  <si>
    <t>Reduced blank clock step</t>
  </si>
  <si>
    <t>Actual pixel clock frequency (MHz) =</t>
  </si>
  <si>
    <t>RB ver 2 &amp; 3</t>
  </si>
  <si>
    <r>
      <t>Reduced Blanking (CVT-RB ver v1,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</si>
  <si>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t>Fixed Horizontal Front Porch For reduced blank version 3</t>
  </si>
  <si>
    <t>Only ratio of MARGIN to image is important. Top and Bottom MARGINs are equal</t>
  </si>
  <si>
    <t>CELL_GRAN</t>
  </si>
  <si>
    <t>V_SYNC</t>
  </si>
  <si>
    <t>MIN_V_BPORCH</t>
  </si>
  <si>
    <t>MIN_V_FPORCH</t>
  </si>
  <si>
    <t xml:space="preserve">Number of lines for vertical sync (lines)  </t>
  </si>
  <si>
    <t>{Derived from table}. DO NOT MODIFY</t>
  </si>
  <si>
    <t xml:space="preserve">Target H sync width (% of line period),                                                       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</si>
  <si>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</si>
  <si>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>Horizontal Cell Granularity for Standard blanking and Reduced Blanking v1 and v3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</si>
  <si>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</si>
  <si>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Horizontal Cell Granularity for Reduced Blanking v2</t>
  </si>
  <si>
    <r>
      <t xml:space="preserve">VALUE = 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</si>
  <si>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time of vertical sync+back porch interval for CRT (us)</t>
  </si>
  <si>
    <r>
      <t xml:space="preserve">VALUE=550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</si>
  <si>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VALUE=7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</si>
  <si>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</si>
  <si>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MIN_VSYNC_BP</t>
  </si>
  <si>
    <t>M (gradient) (%/kHz)</t>
  </si>
  <si>
    <t>C (offset) (%)</t>
  </si>
  <si>
    <t xml:space="preserve">K (blanking time scaling factor) </t>
  </si>
  <si>
    <t>J (scaling factor weighting)</t>
  </si>
  <si>
    <r>
      <t xml:space="preserve">VALUE=600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</si>
  <si>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VALUE=40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</si>
  <si>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VALUE=128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</si>
  <si>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VALUE=20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</si>
  <si>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Computed Value. DO NOT MODIFY</t>
  </si>
  <si>
    <t>Minimum number of vertical back porch lines for CRT.</t>
  </si>
  <si>
    <t>Character cell horizontal granularity (pixels)</t>
  </si>
  <si>
    <r>
      <t xml:space="preserve">VALUE=160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</si>
  <si>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VALUE=80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</si>
  <si>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For reduced blank version 1</t>
  </si>
  <si>
    <t>For reduced blank version 2 &amp; 3. 
Version 3 may add additional pixels in the main form, step 8b) above.</t>
  </si>
  <si>
    <r>
      <t xml:space="preserve">VALUE = 32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</si>
  <si>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 xml:space="preserve">Fixed number of clocks for horizontal sync </t>
  </si>
  <si>
    <r>
      <t xml:space="preserve">VALUE=460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</si>
  <si>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</si>
  <si>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Fixed number of lines for vertical front porch for reduced blank version 1</t>
  </si>
  <si>
    <t>Minimum number of vertical front porch lines reduced blank version 2 &amp; 3</t>
  </si>
  <si>
    <r>
      <t xml:space="preserve">VALUE=6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</si>
  <si>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number of vertical back porch lines for reduced blank version 1</t>
  </si>
  <si>
    <r>
      <t xml:space="preserve">VALUE=0.25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</si>
  <si>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VALUE=0.001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</si>
  <si>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vertical blanking interval time (us)</t>
  </si>
  <si>
    <t>Pixel clock compensation for standard and reduced blank version 1 &amp; 2</t>
  </si>
  <si>
    <t>Pixel clock compensation for reduced blank version 3</t>
  </si>
  <si>
    <r>
      <t xml:space="preserve">VALUE=0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</si>
  <si>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</si>
  <si>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Clock Step for standard and reduced blank version 1</t>
  </si>
  <si>
    <t>Clock Step for reduced blank version 2 and higher</t>
  </si>
  <si>
    <t>RB_V_FPORCH</t>
  </si>
  <si>
    <t>RB_MIN_V_BPORCH</t>
  </si>
  <si>
    <t>CLOCK_STEP</t>
  </si>
  <si>
    <t>COARSE_CLOCK_STEP</t>
  </si>
  <si>
    <t>FINE_CLOCK_STEP</t>
  </si>
  <si>
    <t>Timing Matches Macros</t>
  </si>
  <si>
    <t xml:space="preserve"> </t>
  </si>
  <si>
    <t xml:space="preserve">MIN_V_FPORCH_RND (Lines) = </t>
  </si>
  <si>
    <t>1) These are the values that define the MARGIN size:</t>
  </si>
  <si>
    <t>2) This value defines the horizontal timing boundaries:</t>
  </si>
  <si>
    <t>3) These values define analog system sync pulse width limitations:</t>
  </si>
  <si>
    <t>4) These values define analog scan system vertical blanking time limitations:</t>
  </si>
  <si>
    <t>Minimum vertical front porch (no of lines) for CRT</t>
  </si>
  <si>
    <t>Fixed number of vertical back porch lines for reduced blank version 2 &amp; 3</t>
  </si>
  <si>
    <t>PARAMETER VALUES</t>
  </si>
  <si>
    <t>Added Reduced Blanking version 3 support</t>
  </si>
  <si>
    <t>Minimum RB_MIN_V_BPORCH</t>
  </si>
  <si>
    <t>6) Enter (Y or N) If You Want Reduced Blanking Here   =&gt;</t>
  </si>
  <si>
    <t>3) Enter (Y or N) If You Want Margins  =&gt;</t>
  </si>
  <si>
    <t>4) Enter (Y or N) If You Want Interlace  =&gt;</t>
  </si>
  <si>
    <t>RB_V3_ADD_V_BLANK (us) =</t>
  </si>
  <si>
    <t>RB_MIN_V_BLANK +  RB_V3_ADD_V_BLANK (us) =</t>
  </si>
  <si>
    <t>by Shaylesh Mehta, Syed Athar Hussain, Chris Pasqualino</t>
  </si>
  <si>
    <t>Applicable only if  answer to question 6 is "Y"</t>
  </si>
  <si>
    <t>3)</t>
  </si>
  <si>
    <t>Addition of reduced blank version 3 selector, ignore NTSC multiple and output error if selected</t>
  </si>
  <si>
    <t>V_FIELD_RATE_PPM_ADJ (ppm) =</t>
  </si>
  <si>
    <t>Add V_FIELD_RATE_PPM_ADJ and apply when RB3 selected</t>
  </si>
  <si>
    <t xml:space="preserve">Add Input names from specification to input cell description </t>
  </si>
  <si>
    <t>Error checking for interlaced in RB2/3, additional hblank or early vsync in RB1/RB2</t>
  </si>
  <si>
    <t>4)</t>
  </si>
  <si>
    <t>5)</t>
  </si>
  <si>
    <t>6)</t>
  </si>
  <si>
    <t>Add fixed horizontal front porch of 8 in RB3</t>
  </si>
  <si>
    <t>7)</t>
  </si>
  <si>
    <t>Add additional hblank and vblank, limit range of additional vblank to 0-245us for Type X descriptor</t>
  </si>
  <si>
    <t>2) Enter Desired Vertical Lines Here (I_V_LINES) =&gt;</t>
  </si>
  <si>
    <t>5) Enter Vertical Scan Frame Rate Here (I_IP_FREQ_RDQ) =&gt;</t>
  </si>
  <si>
    <t>1) Enter Desired Horizontal Pixels Here (I_H_PIXELS) =&gt;</t>
  </si>
  <si>
    <t>3) Enter Vertical Scan Frame Rate Here (I_IP_FREQ_RDQ) =&gt;</t>
  </si>
  <si>
    <t>4) Enter (Y or N) If You Want Reduced Blanking Here   =&gt;</t>
  </si>
  <si>
    <t>5) Use Reduced Blank (RB) Timing version  (2, 3)  rules (I_RED_BLANK_VER) =&gt;</t>
  </si>
  <si>
    <t>Pixel clock compensation for standard and reduced blank version 2</t>
  </si>
  <si>
    <t>For reduced blank version 2 &amp; 3. 
Version 3 may add additional pixels in the main form, step 7a) above.</t>
  </si>
  <si>
    <t xml:space="preserve">V_BACK_PORCH = </t>
  </si>
  <si>
    <t>Horizontal Cell Granularity for Standard blanking and Reduced Blanking v3</t>
  </si>
  <si>
    <r>
      <t>Reduced Blanking (CVT-RB ver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</si>
  <si>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</t>
    </r>
  </si>
  <si>
    <t>FIND VBLANK TIME</t>
  </si>
  <si>
    <t>ACT_V_BLANK_TIME</t>
  </si>
  <si>
    <t>TIMING PARAMETER CALCULATION:</t>
  </si>
  <si>
    <t>FIND VERTICAL BACK PORCH</t>
  </si>
  <si>
    <t>FIND VERTICAL FRONT PORCH</t>
  </si>
  <si>
    <t>V_FRONT_PORCH =</t>
  </si>
  <si>
    <t>FIND HORIZONTAL BACK PORCH</t>
  </si>
  <si>
    <t>H_BACK_PORCH =</t>
  </si>
  <si>
    <t>H_FRONT_PORCH</t>
  </si>
  <si>
    <t>RB_H_BLANK</t>
  </si>
  <si>
    <t>RB_H_SYNC</t>
  </si>
  <si>
    <t>RB_MIN_VBLANK</t>
  </si>
  <si>
    <t>V_FIELD_RATE_PPM_ADJ</t>
  </si>
  <si>
    <t>8) Enter desired number of DisplayPort bits per pixel</t>
  </si>
  <si>
    <t>9) Enter desired number of DisplayPort lanes</t>
  </si>
  <si>
    <t>10) Enter desired DisplayPort rate per lane</t>
  </si>
  <si>
    <t>11) Display Stream Compression Target bits per pixel (integer portion)</t>
  </si>
  <si>
    <t>12) Display Stream Compression Target bits per pixel (fractional portion  in 1/16 increment)</t>
  </si>
  <si>
    <t>2)</t>
  </si>
  <si>
    <t>RB_MIN_V_BLANK(us) =</t>
  </si>
  <si>
    <t>Indicate warnings in new warning box</t>
  </si>
  <si>
    <t>Force only CRT or RB1, direct user to 2.0 generator in other cases</t>
  </si>
  <si>
    <t>7) Use Reduced Blank (RB) Timing version  (1)  rules (I_RED_BLANK_VER) =&gt;</t>
  </si>
  <si>
    <t>Applicable only if  answer to question 6 is "N", or question 6 is "Y" and question 7 is RB version 1</t>
  </si>
  <si>
    <t>Add notes about usage of margins and interlaced being restricted to RBv1 or CRT</t>
  </si>
  <si>
    <t>Add warnings when parameter value differs from spec mandates, report warnings in warning box</t>
  </si>
  <si>
    <t>Version 1 of CVT 2.0 Generator</t>
  </si>
  <si>
    <t>December 13, 2021</t>
  </si>
  <si>
    <t>Version 1 of CVT 1.2a Generator</t>
  </si>
  <si>
    <t>Add warning to use cvt2 generator when user selects RBv2 or RBv3</t>
  </si>
  <si>
    <t>Update note on additional vblank requirement and add warnings when outside range</t>
  </si>
  <si>
    <t>Update VIDEO_OPT error check to include RB1 in addition to RB3</t>
  </si>
  <si>
    <t>8)</t>
  </si>
  <si>
    <t>9)</t>
  </si>
  <si>
    <t>10)</t>
  </si>
  <si>
    <t>11)</t>
  </si>
  <si>
    <t>12)</t>
  </si>
  <si>
    <t>13)</t>
  </si>
  <si>
    <t>14)</t>
  </si>
  <si>
    <t>Applicable only if answer to question 4 is "Y" and question 5 is RB version 2</t>
  </si>
  <si>
    <t>Applicable only if answer to question 4 is "Y" and question 5 is RB version 3</t>
  </si>
  <si>
    <t>CVT v2.0 Generator REVISION HISTORY:</t>
  </si>
  <si>
    <t>CVT v1.2a Generator REVISION HISTORY:</t>
  </si>
  <si>
    <t>CVT v1.2a Generator Version 1</t>
  </si>
  <si>
    <t>Enter Adaptive-Sync Minimum Refresh Rate for this Timing</t>
  </si>
  <si>
    <t>Average Refresh Rate at Minimum Adaptive-Sync Refresh Rate for this Timing</t>
  </si>
  <si>
    <t>Maximum Vertical Total at Minimum Adaptive-Sync Refresh Rate for this Timing</t>
  </si>
  <si>
    <t>Average Vertical Total at Minimum Adaptive-Sync Refresh Rate for this Timing</t>
  </si>
  <si>
    <t>Minimum Instantaneous Refresh Rate at Minimum Adaptive-Sync Refresh Rate for this Timing (including source clock deviation limit of -300ppm)</t>
  </si>
  <si>
    <t>Maximum Instantaneous Refresh Rate at Maximum Adaptive-Sync Refresh Rate for this Timing (including source clock deviation limit +300ppm)</t>
  </si>
  <si>
    <t>March 1, 2022</t>
  </si>
  <si>
    <t>Add Adaptive Sync Min and Max Vtotal Calculation</t>
  </si>
  <si>
    <t>March 8, 2022</t>
  </si>
  <si>
    <t>Add Adaptive Sync Min and Max Frame Rate Calculation with Source Clock Deviation</t>
  </si>
  <si>
    <t>April 6, 2022</t>
  </si>
  <si>
    <t>Have user enter Nominal Adaptive Sync Min Refresh Rate instead of Min Refresh Rate divided by 1.001</t>
  </si>
  <si>
    <t>Applicable only if answer to question 4 is "Y" and question 5 is RB version 3. NOTE: The minimum Adaptive-Sync refresh rate must be an integer refresh rate between 0 and 255Hz</t>
  </si>
  <si>
    <t>Adaptive-Sync Minimum Refresh Rate Divided by 1.001</t>
  </si>
  <si>
    <t>April 28, 2022</t>
  </si>
  <si>
    <t>Correct bug in H_BACK_PORCH calculation for RB V2</t>
  </si>
  <si>
    <t>Remove extra HOR BLANK ROW from results</t>
  </si>
  <si>
    <t>Cleanup H_FRONT_PORCH, H_SYNC_RND, H_BACK_PORCH calculation to align better with CVT Standard</t>
  </si>
  <si>
    <t>June 29, 2022</t>
  </si>
  <si>
    <t>Update per CVT Parameter Calculation Correction – V_BACK_PORCH SCR</t>
  </si>
  <si>
    <t>June 30, 2022</t>
  </si>
  <si>
    <t>Fix Bug in Step 7 RB_MIN_VBI Calculation</t>
  </si>
  <si>
    <t>Add change proposed in "SCR to CVT RBv3 for Early VSync with Short Vblank"</t>
  </si>
  <si>
    <t>July 19, 2022</t>
  </si>
  <si>
    <t>V_BACK_PORCH</t>
  </si>
  <si>
    <t>September 22, 2022</t>
  </si>
  <si>
    <t>Update variable and constant names to align to "SCR to SVT RBv3 for Early Vsync with Short Vblank"</t>
  </si>
  <si>
    <t>RB_MIN_H_BLANK</t>
  </si>
  <si>
    <t>RB_MIN_V_FPORCH</t>
  </si>
  <si>
    <t xml:space="preserve">V_BACK_PORCH_EST = </t>
  </si>
  <si>
    <t>V_BACK_PORCH_EST =</t>
  </si>
  <si>
    <t>CVT v2.1 Generator REVISION HISTORY:</t>
  </si>
  <si>
    <t>December 20, 2023</t>
  </si>
  <si>
    <t>December, 2023</t>
  </si>
  <si>
    <t>CVT v2.1 Generator Version 1</t>
  </si>
  <si>
    <t>7) Apply (1000/1001) factor to Frame Rate for video optimized variant (I_VIDEO_OPT) (Y or N) =&gt;</t>
  </si>
  <si>
    <t>8a) Additional Horizontal Blank Pixels (I_ADDITIONAL_HBLANK) (default blank is 80 pixels, additional horizontal blank pixels between 0 and 120 may be added) =&gt;</t>
  </si>
  <si>
    <t>8b) Apply Early Vertical Sync Location Required (I_EARLY_VSYNC_RQD) (Y or N) =&gt;</t>
  </si>
  <si>
    <t>9) Enter desired number of DisplayPort bits per pixel</t>
  </si>
  <si>
    <t>10) Enter desired number of DisplayPort lanes</t>
  </si>
  <si>
    <t>11) Enter desired DisplayPort rate per lane</t>
  </si>
  <si>
    <t>12) Display Stream Compression Target bits per pixel (integer portion)</t>
  </si>
  <si>
    <t>13) Display Stream Compression Target bits per pixel (fractional portion  in 1/16 increment)</t>
  </si>
  <si>
    <t>Applicable only if answer to question 4 is "Y"</t>
  </si>
  <si>
    <t>8c) Additional Vertical Blank Time (I_VBLANK - Minimum VBLANK) =&gt;</t>
  </si>
  <si>
    <t>6) Use Default Minimum VBLANK (N, 460us) or Alternate Minimum VBLANK (Y, 300us)</t>
  </si>
  <si>
    <t>Default minimum vertical blanking interval time (us)</t>
  </si>
  <si>
    <t>Alternate minimum vertical blanking interval time (us)</t>
  </si>
  <si>
    <t>RB_ALT_MIN_VBLANK</t>
  </si>
  <si>
    <t>FIND MINIMUM VBLANK PERIOD (us):</t>
  </si>
  <si>
    <t>MIN_V_BLANK</t>
  </si>
  <si>
    <r>
      <t xml:space="preserve">VALUE=300 </t>
    </r>
    <r>
      <rPr>
        <b/>
        <sz val="16"/>
        <color rgb="FFFF0000"/>
        <rFont val="Arial"/>
        <family val="2"/>
      </rPr>
      <t>Required.</t>
    </r>
    <r>
      <rPr>
        <sz val="16"/>
        <color rgb="FFFF0000"/>
        <rFont val="Arial"/>
        <family val="2"/>
      </rPr>
      <t xml:space="preserve">  DO NOT MODIFY</t>
    </r>
  </si>
  <si>
    <t>Change CVT2.0 to CVT2.1</t>
  </si>
  <si>
    <t>Incorporate alternate minimum vblank option: input for alternate minimum vblank, constant for alternate minimum vblank, validation and rules, revised calculation step 4</t>
  </si>
  <si>
    <t>Applicable only if answer to question 4 is "Y". Subject to interface specification 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</si>
</sst>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_);[Red]\(#,##0.000\)"/>
    <numFmt numFmtId="165" formatCode="0.0"/>
    <numFmt numFmtId="166" formatCode="#,##0.0_);[Red]\(#,##0.0\)"/>
    <numFmt numFmtId="167" formatCode="0.000"/>
    <numFmt numFmtId="168" formatCode="#,##0.0000_);[Red]\(#,##0.0000\)"/>
    <numFmt numFmtId="169" formatCode="0.000000"/>
    <numFmt numFmtId="170" formatCode="#,##0.00;[Red]#,##0.00"/>
    <numFmt numFmtId="171" formatCode="0.0000"/>
  </numFmts>
  <fonts count="62">
    <font>
      <sz val="10"/>
      <name val="Arial"/>
    </font>
    <font>
      <sz val="10"/>
      <name val="Arial"/>
      <family val="2"/>
    </font>
    <font>
      <b/>
      <u/>
      <sz val="14"/>
      <name val="MS Sans Serif"/>
      <family val="2"/>
    </font>
    <font>
      <b/>
      <u/>
      <sz val="10"/>
      <name val="MS Sans Serif"/>
      <family val="2"/>
    </font>
    <font>
      <sz val="10"/>
      <name val="MS Sans Serif"/>
      <family val="2"/>
    </font>
    <font>
      <b/>
      <sz val="24"/>
      <name val="MS Sans Serif"/>
      <family val="2"/>
    </font>
    <font>
      <sz val="14"/>
      <name val="MS Sans Serif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8"/>
      <name val="MS Sans Serif"/>
      <family val="2"/>
    </font>
    <font>
      <b/>
      <sz val="18"/>
      <name val="MS Sans Serif"/>
      <family val="2"/>
    </font>
    <font>
      <sz val="14"/>
      <name val="Arial"/>
      <family val="2"/>
    </font>
    <font>
      <b/>
      <sz val="14"/>
      <name val="MS Sans Serif"/>
      <family val="2"/>
    </font>
    <font>
      <sz val="13.5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MS Sans Serif"/>
      <family val="2"/>
    </font>
    <font>
      <sz val="16"/>
      <name val="MS Sans Serif"/>
      <family val="2"/>
    </font>
    <font>
      <sz val="18"/>
      <name val="MS Sans Serif"/>
      <family val="2"/>
    </font>
    <font>
      <b/>
      <u/>
      <sz val="36"/>
      <name val="Arial"/>
      <family val="2"/>
    </font>
    <font>
      <u/>
      <sz val="14"/>
      <color indexed="1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36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MS Sans Serif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u/>
      <sz val="24"/>
      <color indexed="10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sz val="13.5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24"/>
      <color rgb="FFFF0000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sz val="10"/>
      <color rgb="FFFF0000"/>
      <name val="MS Sans Serif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3">
    <xf numFmtId="0" fontId="0" fillId="0" borderId="0"/>
    <xf numFmtId="0" fontId="40" fillId="2" borderId="53" applyNumberFormat="0" applyAlignment="0" applyProtection="0"/>
    <xf numFmtId="0" fontId="1" fillId="0" borderId="0"/>
  </cellStyleXfs>
  <cellXfs count="675">
    <xf numFmtId="0" fontId="0" fillId="0" borderId="0" xfId="0"/>
    <xf numFmtId="0" fontId="0" fillId="0" borderId="3" xfId="0" applyBorder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33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3" fontId="15" fillId="0" borderId="1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0" xfId="0" applyNumberFormat="1" applyAlignment="1">
      <alignment vertical="center"/>
    </xf>
    <xf numFmtId="1" fontId="26" fillId="0" borderId="25" xfId="0" applyNumberFormat="1" applyFont="1" applyBorder="1" applyAlignment="1">
      <alignment vertical="center" wrapText="1"/>
    </xf>
    <xf numFmtId="1" fontId="26" fillId="0" borderId="0" xfId="0" applyNumberFormat="1" applyFont="1" applyAlignment="1">
      <alignment vertical="center" wrapText="1"/>
    </xf>
    <xf numFmtId="164" fontId="0" fillId="0" borderId="26" xfId="0" applyNumberFormat="1" applyBorder="1" applyAlignment="1">
      <alignment horizontal="center" vertical="center"/>
    </xf>
    <xf numFmtId="1" fontId="0" fillId="0" borderId="25" xfId="0" applyNumberFormat="1" applyBorder="1" applyAlignment="1">
      <alignment vertical="center"/>
    </xf>
    <xf numFmtId="1" fontId="0" fillId="0" borderId="27" xfId="0" applyNumberForma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33" fillId="0" borderId="9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2"/>
    </xf>
    <xf numFmtId="1" fontId="1" fillId="0" borderId="25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" fontId="4" fillId="0" borderId="25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3" fontId="0" fillId="0" borderId="26" xfId="0" applyNumberFormat="1" applyBorder="1" applyAlignment="1">
      <alignment horizontal="center" vertical="center"/>
    </xf>
    <xf numFmtId="1" fontId="26" fillId="0" borderId="25" xfId="0" applyNumberFormat="1" applyFont="1" applyBorder="1" applyAlignment="1">
      <alignment vertical="center"/>
    </xf>
    <xf numFmtId="164" fontId="26" fillId="0" borderId="0" xfId="0" applyNumberFormat="1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3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5" fillId="0" borderId="4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7" fontId="15" fillId="0" borderId="0" xfId="0" applyNumberFormat="1" applyFont="1" applyAlignment="1">
      <alignment vertical="center"/>
    </xf>
    <xf numFmtId="0" fontId="26" fillId="0" borderId="26" xfId="0" applyFon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26" fillId="0" borderId="2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165" fontId="0" fillId="0" borderId="26" xfId="0" applyNumberForma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Continuous" vertical="center"/>
    </xf>
    <xf numFmtId="0" fontId="15" fillId="0" borderId="35" xfId="0" applyFont="1" applyBorder="1" applyAlignment="1">
      <alignment horizontal="centerContinuous" vertical="center"/>
    </xf>
    <xf numFmtId="0" fontId="2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3" xfId="0" applyFont="1" applyBorder="1" applyAlignment="1">
      <alignment vertical="center"/>
    </xf>
    <xf numFmtId="20" fontId="37" fillId="0" borderId="0" xfId="0" quotePrefix="1" applyNumberFormat="1" applyFont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20" fontId="37" fillId="0" borderId="5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20" fontId="37" fillId="0" borderId="0" xfId="0" applyNumberFormat="1" applyFont="1" applyAlignment="1">
      <alignment vertical="center"/>
    </xf>
    <xf numFmtId="0" fontId="41" fillId="2" borderId="53" xfId="1" applyFont="1" applyAlignment="1">
      <alignment horizontal="center" vertical="center" wrapText="1"/>
    </xf>
    <xf numFmtId="0" fontId="41" fillId="2" borderId="53" xfId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25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30" fillId="0" borderId="11" xfId="0" applyNumberFormat="1" applyFont="1" applyBorder="1" applyAlignment="1">
      <alignment vertical="center"/>
    </xf>
    <xf numFmtId="3" fontId="28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15" fillId="0" borderId="0" xfId="0" quotePrefix="1" applyNumberFormat="1" applyFont="1" applyAlignment="1">
      <alignment vertical="center"/>
    </xf>
    <xf numFmtId="3" fontId="15" fillId="0" borderId="0" xfId="0" quotePrefix="1" applyNumberFormat="1" applyFont="1" applyAlignment="1">
      <alignment horizontal="center" vertical="center"/>
    </xf>
    <xf numFmtId="167" fontId="28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64" fontId="28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3" fontId="15" fillId="0" borderId="6" xfId="0" applyNumberFormat="1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164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28" fillId="0" borderId="6" xfId="0" applyFont="1" applyBorder="1" applyAlignment="1">
      <alignment vertical="center"/>
    </xf>
    <xf numFmtId="164" fontId="15" fillId="0" borderId="6" xfId="0" applyNumberFormat="1" applyFont="1" applyBorder="1" applyAlignment="1">
      <alignment horizontal="lef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1" fontId="28" fillId="0" borderId="6" xfId="0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left" vertical="center"/>
    </xf>
    <xf numFmtId="3" fontId="28" fillId="0" borderId="7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" fontId="28" fillId="0" borderId="7" xfId="0" applyNumberFormat="1" applyFont="1" applyBorder="1" applyAlignment="1">
      <alignment vertical="center"/>
    </xf>
    <xf numFmtId="3" fontId="28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Continuous" vertical="center"/>
    </xf>
    <xf numFmtId="164" fontId="15" fillId="0" borderId="0" xfId="0" applyNumberFormat="1" applyFont="1" applyAlignment="1">
      <alignment horizontal="centerContinuous" vertical="center"/>
    </xf>
    <xf numFmtId="1" fontId="28" fillId="0" borderId="0" xfId="0" applyNumberFormat="1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167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left" vertical="center"/>
    </xf>
    <xf numFmtId="167" fontId="28" fillId="0" borderId="6" xfId="0" applyNumberFormat="1" applyFont="1" applyBorder="1" applyAlignment="1">
      <alignment vertical="center"/>
    </xf>
    <xf numFmtId="166" fontId="28" fillId="0" borderId="6" xfId="0" applyNumberFormat="1" applyFont="1" applyBorder="1" applyAlignment="1">
      <alignment horizontal="right" vertical="center"/>
    </xf>
    <xf numFmtId="166" fontId="15" fillId="0" borderId="6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64" fontId="28" fillId="0" borderId="7" xfId="0" applyNumberFormat="1" applyFont="1" applyBorder="1" applyAlignment="1">
      <alignment horizontal="centerContinuous" vertical="center"/>
    </xf>
    <xf numFmtId="164" fontId="15" fillId="0" borderId="7" xfId="0" applyNumberFormat="1" applyFont="1" applyBorder="1" applyAlignment="1">
      <alignment horizontal="centerContinuous" vertical="center"/>
    </xf>
    <xf numFmtId="1" fontId="28" fillId="0" borderId="7" xfId="0" applyNumberFormat="1" applyFont="1" applyBorder="1" applyAlignment="1">
      <alignment horizontal="centerContinuous" vertical="center"/>
    </xf>
    <xf numFmtId="166" fontId="28" fillId="0" borderId="7" xfId="0" applyNumberFormat="1" applyFont="1" applyBorder="1" applyAlignment="1">
      <alignment horizontal="centerContinuous" vertical="center"/>
    </xf>
    <xf numFmtId="0" fontId="1" fillId="0" borderId="3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8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3" fillId="0" borderId="3" xfId="0" applyFont="1" applyBorder="1" applyAlignment="1">
      <alignment horizontal="centerContinuous" vertical="center"/>
    </xf>
    <xf numFmtId="0" fontId="44" fillId="0" borderId="3" xfId="0" applyFont="1" applyBorder="1" applyAlignment="1">
      <alignment horizontal="left" vertical="center" indent="3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166" fontId="2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/>
    </xf>
    <xf numFmtId="1" fontId="4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0" borderId="2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9" fontId="48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70" fontId="50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1" fontId="28" fillId="0" borderId="36" xfId="0" applyNumberFormat="1" applyFont="1" applyBorder="1" applyAlignment="1">
      <alignment horizontal="center" vertical="center"/>
    </xf>
    <xf numFmtId="38" fontId="28" fillId="0" borderId="52" xfId="0" applyNumberFormat="1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0" fontId="14" fillId="0" borderId="0" xfId="0" quotePrefix="1" applyFont="1" applyAlignment="1">
      <alignment vertical="center"/>
    </xf>
    <xf numFmtId="1" fontId="32" fillId="0" borderId="23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0" fillId="0" borderId="24" xfId="0" applyNumberFormat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52" xfId="0" applyFont="1" applyBorder="1" applyAlignment="1" applyProtection="1">
      <alignment horizontal="center" vertical="center"/>
      <protection locked="0"/>
    </xf>
    <xf numFmtId="2" fontId="39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 wrapText="1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1" fontId="1" fillId="0" borderId="0" xfId="2" applyNumberFormat="1" applyAlignment="1">
      <alignment vertical="center"/>
    </xf>
    <xf numFmtId="1" fontId="1" fillId="0" borderId="0" xfId="2" applyNumberForma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left" vertical="center"/>
    </xf>
    <xf numFmtId="164" fontId="1" fillId="0" borderId="0" xfId="2" applyNumberFormat="1" applyAlignment="1">
      <alignment vertical="center"/>
    </xf>
    <xf numFmtId="16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vertical="center"/>
    </xf>
    <xf numFmtId="3" fontId="1" fillId="0" borderId="0" xfId="2" applyNumberFormat="1" applyAlignment="1">
      <alignment horizontal="center" vertical="center"/>
    </xf>
    <xf numFmtId="164" fontId="1" fillId="0" borderId="0" xfId="2" applyNumberFormat="1" applyAlignment="1">
      <alignment horizontal="right" vertical="center"/>
    </xf>
    <xf numFmtId="1" fontId="1" fillId="0" borderId="0" xfId="2" applyNumberFormat="1" applyAlignment="1">
      <alignment horizontal="right" vertical="center"/>
    </xf>
    <xf numFmtId="164" fontId="1" fillId="0" borderId="0" xfId="2" applyNumberForma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0" fontId="14" fillId="0" borderId="31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20" fontId="18" fillId="0" borderId="5" xfId="2" applyNumberFormat="1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0" xfId="2" applyFont="1" applyAlignment="1">
      <alignment vertical="center"/>
    </xf>
    <xf numFmtId="1" fontId="11" fillId="0" borderId="0" xfId="2" applyNumberFormat="1" applyFont="1" applyAlignment="1">
      <alignment vertical="center"/>
    </xf>
    <xf numFmtId="0" fontId="11" fillId="0" borderId="4" xfId="2" applyFont="1" applyBorder="1" applyAlignment="1">
      <alignment vertical="center"/>
    </xf>
    <xf numFmtId="0" fontId="14" fillId="0" borderId="0" xfId="2" applyFont="1" applyAlignment="1">
      <alignment vertical="center"/>
    </xf>
    <xf numFmtId="164" fontId="28" fillId="0" borderId="1" xfId="2" applyNumberFormat="1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left" vertical="center"/>
    </xf>
    <xf numFmtId="0" fontId="18" fillId="0" borderId="3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4" xfId="2" applyFont="1" applyBorder="1" applyAlignment="1">
      <alignment vertical="center"/>
    </xf>
    <xf numFmtId="1" fontId="46" fillId="0" borderId="0" xfId="2" applyNumberFormat="1" applyFont="1" applyAlignment="1">
      <alignment horizontal="left" vertical="center"/>
    </xf>
    <xf numFmtId="0" fontId="28" fillId="0" borderId="1" xfId="2" applyFont="1" applyBorder="1" applyAlignment="1">
      <alignment horizontal="center" vertical="center"/>
    </xf>
    <xf numFmtId="164" fontId="15" fillId="0" borderId="4" xfId="2" applyNumberFormat="1" applyFont="1" applyBorder="1" applyAlignment="1">
      <alignment vertical="center"/>
    </xf>
    <xf numFmtId="20" fontId="18" fillId="0" borderId="0" xfId="2" applyNumberFormat="1" applyFont="1" applyAlignment="1">
      <alignment vertical="center"/>
    </xf>
    <xf numFmtId="0" fontId="44" fillId="0" borderId="3" xfId="2" applyFont="1" applyBorder="1" applyAlignment="1">
      <alignment horizontal="left" vertical="center" indent="3"/>
    </xf>
    <xf numFmtId="20" fontId="18" fillId="0" borderId="23" xfId="2" applyNumberFormat="1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20" fontId="14" fillId="0" borderId="43" xfId="2" applyNumberFormat="1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8" fillId="0" borderId="0" xfId="2" quotePrefix="1" applyFont="1" applyAlignment="1">
      <alignment vertical="center"/>
    </xf>
    <xf numFmtId="0" fontId="14" fillId="0" borderId="41" xfId="2" applyFont="1" applyBorder="1" applyAlignment="1">
      <alignment horizontal="center" vertical="center"/>
    </xf>
    <xf numFmtId="20" fontId="14" fillId="0" borderId="42" xfId="2" applyNumberFormat="1" applyFont="1" applyBorder="1" applyAlignment="1">
      <alignment vertical="center"/>
    </xf>
    <xf numFmtId="0" fontId="14" fillId="0" borderId="42" xfId="2" quotePrefix="1" applyFont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20" fontId="18" fillId="0" borderId="0" xfId="2" quotePrefix="1" applyNumberFormat="1" applyFont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1" fontId="18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40" xfId="2" applyFont="1" applyBorder="1" applyAlignment="1">
      <alignment horizontal="center" vertical="center"/>
    </xf>
    <xf numFmtId="0" fontId="14" fillId="0" borderId="32" xfId="2" applyFont="1" applyBorder="1" applyAlignment="1">
      <alignment vertical="center"/>
    </xf>
    <xf numFmtId="0" fontId="22" fillId="0" borderId="39" xfId="2" applyFont="1" applyBorder="1" applyAlignment="1">
      <alignment vertical="center"/>
    </xf>
    <xf numFmtId="0" fontId="22" fillId="0" borderId="38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20" fontId="14" fillId="0" borderId="45" xfId="2" quotePrefix="1" applyNumberFormat="1" applyFont="1" applyBorder="1" applyAlignment="1">
      <alignment vertical="center"/>
    </xf>
    <xf numFmtId="0" fontId="22" fillId="0" borderId="44" xfId="2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9" fillId="0" borderId="3" xfId="2" applyFont="1" applyBorder="1" applyAlignment="1">
      <alignment horizontal="left" vertical="center" indent="3"/>
    </xf>
    <xf numFmtId="0" fontId="1" fillId="0" borderId="3" xfId="2" applyBorder="1" applyAlignment="1">
      <alignment vertical="center"/>
    </xf>
    <xf numFmtId="3" fontId="28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4" fontId="16" fillId="0" borderId="0" xfId="2" applyNumberFormat="1" applyFont="1" applyAlignment="1">
      <alignment vertical="center"/>
    </xf>
    <xf numFmtId="38" fontId="10" fillId="0" borderId="0" xfId="2" applyNumberFormat="1" applyFont="1" applyAlignment="1">
      <alignment horizontal="center" vertical="center"/>
    </xf>
    <xf numFmtId="0" fontId="11" fillId="0" borderId="3" xfId="2" applyFont="1" applyBorder="1" applyAlignment="1">
      <alignment vertical="center"/>
    </xf>
    <xf numFmtId="38" fontId="28" fillId="0" borderId="1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38" fontId="22" fillId="0" borderId="36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3" fontId="28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1" fontId="28" fillId="0" borderId="1" xfId="2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3" xfId="2" applyFont="1" applyBorder="1" applyAlignment="1">
      <alignment vertical="center"/>
    </xf>
    <xf numFmtId="0" fontId="11" fillId="0" borderId="4" xfId="2" applyFont="1" applyBorder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43" fillId="0" borderId="3" xfId="2" applyFont="1" applyBorder="1" applyAlignment="1">
      <alignment horizontal="centerContinuous" vertical="center"/>
    </xf>
    <xf numFmtId="0" fontId="11" fillId="0" borderId="12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31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164" fontId="25" fillId="0" borderId="5" xfId="2" applyNumberFormat="1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" fillId="0" borderId="30" xfId="2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166" fontId="28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vertical="center"/>
    </xf>
    <xf numFmtId="164" fontId="28" fillId="0" borderId="0" xfId="2" applyNumberFormat="1" applyFont="1" applyAlignment="1">
      <alignment vertical="center"/>
    </xf>
    <xf numFmtId="0" fontId="15" fillId="0" borderId="3" xfId="2" applyFont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48" fillId="0" borderId="0" xfId="2" applyFont="1" applyAlignment="1">
      <alignment vertical="center"/>
    </xf>
    <xf numFmtId="0" fontId="47" fillId="0" borderId="0" xfId="2" applyFont="1" applyAlignment="1">
      <alignment horizontal="center" vertical="center"/>
    </xf>
    <xf numFmtId="0" fontId="15" fillId="0" borderId="35" xfId="2" applyFont="1" applyBorder="1" applyAlignment="1">
      <alignment horizontal="centerContinuous" vertical="center"/>
    </xf>
    <xf numFmtId="166" fontId="28" fillId="0" borderId="7" xfId="2" applyNumberFormat="1" applyFont="1" applyBorder="1" applyAlignment="1">
      <alignment horizontal="centerContinuous" vertical="center"/>
    </xf>
    <xf numFmtId="166" fontId="15" fillId="0" borderId="7" xfId="2" applyNumberFormat="1" applyFont="1" applyBorder="1" applyAlignment="1">
      <alignment horizontal="centerContinuous" vertical="center"/>
    </xf>
    <xf numFmtId="164" fontId="15" fillId="0" borderId="7" xfId="2" applyNumberFormat="1" applyFont="1" applyBorder="1" applyAlignment="1">
      <alignment horizontal="centerContinuous" vertical="center"/>
    </xf>
    <xf numFmtId="1" fontId="28" fillId="0" borderId="7" xfId="2" applyNumberFormat="1" applyFont="1" applyBorder="1" applyAlignment="1">
      <alignment horizontal="centerContinuous" vertical="center"/>
    </xf>
    <xf numFmtId="164" fontId="28" fillId="0" borderId="7" xfId="2" applyNumberFormat="1" applyFont="1" applyBorder="1" applyAlignment="1">
      <alignment horizontal="centerContinuous" vertical="center"/>
    </xf>
    <xf numFmtId="0" fontId="15" fillId="0" borderId="7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" fillId="0" borderId="29" xfId="2" applyBorder="1" applyAlignment="1">
      <alignment horizontal="center" vertical="center"/>
    </xf>
    <xf numFmtId="0" fontId="1" fillId="0" borderId="28" xfId="2" applyBorder="1" applyAlignment="1">
      <alignment horizontal="left" vertical="center"/>
    </xf>
    <xf numFmtId="1" fontId="1" fillId="0" borderId="27" xfId="2" applyNumberFormat="1" applyBorder="1" applyAlignment="1">
      <alignment vertical="center"/>
    </xf>
    <xf numFmtId="0" fontId="15" fillId="0" borderId="8" xfId="2" applyFont="1" applyBorder="1" applyAlignment="1">
      <alignment horizontal="left" vertical="center"/>
    </xf>
    <xf numFmtId="166" fontId="28" fillId="0" borderId="6" xfId="2" applyNumberFormat="1" applyFont="1" applyBorder="1" applyAlignment="1">
      <alignment horizontal="right" vertical="center"/>
    </xf>
    <xf numFmtId="166" fontId="15" fillId="0" borderId="6" xfId="2" applyNumberFormat="1" applyFont="1" applyBorder="1" applyAlignment="1">
      <alignment vertical="center"/>
    </xf>
    <xf numFmtId="164" fontId="15" fillId="0" borderId="6" xfId="2" applyNumberFormat="1" applyFont="1" applyBorder="1" applyAlignment="1">
      <alignment horizontal="left" vertical="center"/>
    </xf>
    <xf numFmtId="167" fontId="28" fillId="0" borderId="6" xfId="2" applyNumberFormat="1" applyFont="1" applyBorder="1" applyAlignment="1">
      <alignment vertical="center"/>
    </xf>
    <xf numFmtId="164" fontId="28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15" fillId="0" borderId="34" xfId="2" applyFont="1" applyBorder="1" applyAlignment="1">
      <alignment vertical="center"/>
    </xf>
    <xf numFmtId="1" fontId="1" fillId="0" borderId="26" xfId="2" applyNumberFormat="1" applyBorder="1" applyAlignment="1">
      <alignment horizontal="center" vertical="center"/>
    </xf>
    <xf numFmtId="1" fontId="1" fillId="0" borderId="25" xfId="2" applyNumberFormat="1" applyBorder="1" applyAlignment="1">
      <alignment vertical="center"/>
    </xf>
    <xf numFmtId="0" fontId="15" fillId="0" borderId="4" xfId="2" applyFont="1" applyBorder="1" applyAlignment="1">
      <alignment horizontal="centerContinuous" vertical="center"/>
    </xf>
    <xf numFmtId="0" fontId="28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164" fontId="28" fillId="0" borderId="0" xfId="2" applyNumberFormat="1" applyFont="1" applyAlignment="1">
      <alignment horizontal="centerContinuous" vertical="center"/>
    </xf>
    <xf numFmtId="164" fontId="15" fillId="0" borderId="0" xfId="2" applyNumberFormat="1" applyFont="1" applyAlignment="1">
      <alignment horizontal="centerContinuous" vertical="center"/>
    </xf>
    <xf numFmtId="1" fontId="28" fillId="0" borderId="0" xfId="2" applyNumberFormat="1" applyFont="1" applyAlignment="1">
      <alignment horizontal="centerContinuous" vertical="center"/>
    </xf>
    <xf numFmtId="0" fontId="50" fillId="0" borderId="0" xfId="2" applyFont="1" applyAlignment="1">
      <alignment vertical="center"/>
    </xf>
    <xf numFmtId="0" fontId="15" fillId="0" borderId="8" xfId="2" applyFont="1" applyBorder="1" applyAlignment="1">
      <alignment vertical="center"/>
    </xf>
    <xf numFmtId="3" fontId="28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vertical="center"/>
    </xf>
    <xf numFmtId="3" fontId="28" fillId="0" borderId="0" xfId="2" applyNumberFormat="1" applyFont="1" applyAlignment="1">
      <alignment vertical="center"/>
    </xf>
    <xf numFmtId="3" fontId="28" fillId="0" borderId="0" xfId="2" applyNumberFormat="1" applyFont="1" applyAlignment="1">
      <alignment horizontal="right" vertical="center"/>
    </xf>
    <xf numFmtId="170" fontId="50" fillId="0" borderId="0" xfId="2" applyNumberFormat="1" applyFont="1" applyAlignment="1">
      <alignment vertical="center"/>
    </xf>
    <xf numFmtId="165" fontId="1" fillId="0" borderId="26" xfId="2" applyNumberFormat="1" applyBorder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vertical="center"/>
    </xf>
    <xf numFmtId="164" fontId="48" fillId="0" borderId="0" xfId="2" applyNumberFormat="1" applyFont="1" applyAlignment="1">
      <alignment vertical="center"/>
    </xf>
    <xf numFmtId="0" fontId="15" fillId="0" borderId="35" xfId="2" applyFont="1" applyBorder="1" applyAlignment="1">
      <alignment vertical="center"/>
    </xf>
    <xf numFmtId="1" fontId="28" fillId="0" borderId="7" xfId="2" applyNumberFormat="1" applyFont="1" applyBorder="1" applyAlignment="1">
      <alignment vertical="center"/>
    </xf>
    <xf numFmtId="164" fontId="15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horizontal="right" vertical="center"/>
    </xf>
    <xf numFmtId="164" fontId="15" fillId="0" borderId="7" xfId="2" applyNumberFormat="1" applyFont="1" applyBorder="1" applyAlignment="1">
      <alignment horizontal="left" vertical="center"/>
    </xf>
    <xf numFmtId="164" fontId="28" fillId="0" borderId="7" xfId="2" applyNumberFormat="1" applyFont="1" applyBorder="1" applyAlignment="1">
      <alignment vertical="center"/>
    </xf>
    <xf numFmtId="1" fontId="28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horizontal="right" vertical="center"/>
    </xf>
    <xf numFmtId="169" fontId="48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42" fillId="0" borderId="7" xfId="2" applyFont="1" applyBorder="1" applyAlignment="1">
      <alignment vertical="center"/>
    </xf>
    <xf numFmtId="3" fontId="15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horizontal="left" vertical="center"/>
    </xf>
    <xf numFmtId="0" fontId="1" fillId="0" borderId="28" xfId="2" applyBorder="1" applyAlignment="1">
      <alignment vertical="center"/>
    </xf>
    <xf numFmtId="167" fontId="15" fillId="0" borderId="0" xfId="2" applyNumberFormat="1" applyFont="1" applyAlignment="1">
      <alignment vertical="center"/>
    </xf>
    <xf numFmtId="3" fontId="30" fillId="0" borderId="0" xfId="2" applyNumberFormat="1" applyFont="1" applyAlignment="1">
      <alignment vertical="center"/>
    </xf>
    <xf numFmtId="167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horizontal="right" vertical="center"/>
    </xf>
    <xf numFmtId="0" fontId="49" fillId="0" borderId="0" xfId="2" applyFont="1" applyAlignment="1">
      <alignment vertical="center"/>
    </xf>
    <xf numFmtId="164" fontId="1" fillId="0" borderId="26" xfId="2" applyNumberFormat="1" applyBorder="1" applyAlignment="1">
      <alignment horizontal="center" vertical="center"/>
    </xf>
    <xf numFmtId="167" fontId="1" fillId="0" borderId="26" xfId="2" applyNumberFormat="1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5" fillId="0" borderId="0" xfId="2" quotePrefix="1" applyFont="1" applyAlignment="1">
      <alignment vertical="center"/>
    </xf>
    <xf numFmtId="3" fontId="15" fillId="0" borderId="0" xfId="2" quotePrefix="1" applyNumberFormat="1" applyFont="1" applyAlignment="1">
      <alignment horizontal="center" vertical="center"/>
    </xf>
    <xf numFmtId="3" fontId="15" fillId="0" borderId="0" xfId="2" quotePrefix="1" applyNumberFormat="1" applyFont="1" applyAlignment="1">
      <alignment vertical="center"/>
    </xf>
    <xf numFmtId="164" fontId="28" fillId="0" borderId="0" xfId="2" applyNumberFormat="1" applyFont="1" applyAlignment="1">
      <alignment horizontal="right" vertical="center"/>
    </xf>
    <xf numFmtId="0" fontId="28" fillId="0" borderId="0" xfId="2" applyFont="1" applyAlignment="1">
      <alignment horizontal="right" vertical="center"/>
    </xf>
    <xf numFmtId="0" fontId="15" fillId="0" borderId="12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3" fontId="15" fillId="0" borderId="11" xfId="2" applyNumberFormat="1" applyFont="1" applyBorder="1" applyAlignment="1">
      <alignment horizontal="center" vertical="center" wrapText="1"/>
    </xf>
    <xf numFmtId="3" fontId="30" fillId="0" borderId="11" xfId="2" applyNumberFormat="1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1" fontId="1" fillId="0" borderId="25" xfId="2" applyNumberFormat="1" applyBorder="1" applyAlignment="1">
      <alignment horizontal="right" vertical="center"/>
    </xf>
    <xf numFmtId="0" fontId="1" fillId="0" borderId="24" xfId="2" applyBorder="1" applyAlignment="1">
      <alignment horizontal="center" vertical="center"/>
    </xf>
    <xf numFmtId="0" fontId="1" fillId="0" borderId="23" xfId="2" applyBorder="1" applyAlignment="1">
      <alignment horizontal="left" vertical="center"/>
    </xf>
    <xf numFmtId="1" fontId="7" fillId="0" borderId="9" xfId="2" applyNumberFormat="1" applyFont="1" applyBorder="1" applyAlignment="1">
      <alignment vertical="center"/>
    </xf>
    <xf numFmtId="165" fontId="1" fillId="0" borderId="32" xfId="2" applyNumberFormat="1" applyBorder="1" applyAlignment="1">
      <alignment horizontal="center" vertical="center"/>
    </xf>
    <xf numFmtId="164" fontId="1" fillId="0" borderId="32" xfId="2" applyNumberFormat="1" applyBorder="1" applyAlignment="1">
      <alignment horizontal="left" vertical="center"/>
    </xf>
    <xf numFmtId="1" fontId="1" fillId="0" borderId="32" xfId="2" applyNumberFormat="1" applyBorder="1" applyAlignment="1">
      <alignment vertical="center"/>
    </xf>
    <xf numFmtId="3" fontId="1" fillId="0" borderId="26" xfId="2" applyNumberFormat="1" applyBorder="1" applyAlignment="1">
      <alignment horizontal="center" vertical="center"/>
    </xf>
    <xf numFmtId="165" fontId="1" fillId="0" borderId="29" xfId="2" applyNumberFormat="1" applyBorder="1" applyAlignment="1">
      <alignment horizontal="center" vertical="center"/>
    </xf>
    <xf numFmtId="164" fontId="1" fillId="0" borderId="28" xfId="2" applyNumberFormat="1" applyBorder="1" applyAlignment="1">
      <alignment horizontal="left" vertical="center"/>
    </xf>
    <xf numFmtId="164" fontId="18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8" fontId="1" fillId="0" borderId="26" xfId="2" applyNumberFormat="1" applyBorder="1" applyAlignment="1">
      <alignment horizontal="center" vertical="center"/>
    </xf>
    <xf numFmtId="0" fontId="1" fillId="0" borderId="11" xfId="2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" fillId="0" borderId="31" xfId="2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39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left" vertical="center"/>
    </xf>
    <xf numFmtId="1" fontId="4" fillId="0" borderId="25" xfId="2" applyNumberFormat="1" applyFont="1" applyBorder="1" applyAlignment="1">
      <alignment vertical="center"/>
    </xf>
    <xf numFmtId="0" fontId="39" fillId="0" borderId="1" xfId="2" applyFont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2" fontId="1" fillId="0" borderId="26" xfId="2" applyNumberFormat="1" applyBorder="1" applyAlignment="1">
      <alignment horizontal="center" vertical="center"/>
    </xf>
    <xf numFmtId="0" fontId="39" fillId="0" borderId="52" xfId="2" applyFont="1" applyBorder="1" applyAlignment="1">
      <alignment horizontal="center" vertical="center" wrapText="1"/>
    </xf>
    <xf numFmtId="0" fontId="1" fillId="0" borderId="26" xfId="2" applyBorder="1" applyAlignment="1">
      <alignment vertical="center"/>
    </xf>
    <xf numFmtId="0" fontId="7" fillId="0" borderId="25" xfId="2" applyFont="1" applyBorder="1" applyAlignment="1">
      <alignment horizontal="left" vertical="center"/>
    </xf>
    <xf numFmtId="0" fontId="1" fillId="0" borderId="24" xfId="2" applyBorder="1" applyAlignment="1">
      <alignment vertical="center"/>
    </xf>
    <xf numFmtId="0" fontId="1" fillId="0" borderId="23" xfId="2" applyBorder="1" applyAlignment="1">
      <alignment vertical="center"/>
    </xf>
    <xf numFmtId="0" fontId="7" fillId="0" borderId="9" xfId="2" applyFont="1" applyBorder="1" applyAlignment="1">
      <alignment horizontal="left" vertical="center"/>
    </xf>
    <xf numFmtId="166" fontId="28" fillId="0" borderId="4" xfId="2" applyNumberFormat="1" applyFont="1" applyBorder="1" applyAlignment="1">
      <alignment horizontal="center" vertical="center"/>
    </xf>
    <xf numFmtId="164" fontId="1" fillId="0" borderId="29" xfId="2" applyNumberFormat="1" applyBorder="1" applyAlignment="1">
      <alignment horizontal="center" vertical="center"/>
    </xf>
    <xf numFmtId="1" fontId="1" fillId="0" borderId="27" xfId="2" applyNumberFormat="1" applyBorder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23" fillId="0" borderId="4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2"/>
    </xf>
    <xf numFmtId="0" fontId="11" fillId="0" borderId="0" xfId="2" applyFont="1" applyAlignment="1">
      <alignment horizontal="left" vertical="center" wrapText="1" indent="2"/>
    </xf>
    <xf numFmtId="0" fontId="23" fillId="0" borderId="0" xfId="2" applyFont="1" applyAlignment="1">
      <alignment vertical="center"/>
    </xf>
    <xf numFmtId="0" fontId="1" fillId="0" borderId="25" xfId="2" applyBorder="1" applyAlignment="1">
      <alignment horizontal="center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1" fillId="0" borderId="0" xfId="2" applyAlignment="1">
      <alignment vertical="center" wrapText="1"/>
    </xf>
    <xf numFmtId="1" fontId="7" fillId="0" borderId="25" xfId="2" applyNumberFormat="1" applyFont="1" applyBorder="1" applyAlignment="1">
      <alignment vertical="center"/>
    </xf>
    <xf numFmtId="1" fontId="3" fillId="0" borderId="9" xfId="2" applyNumberFormat="1" applyFont="1" applyBorder="1" applyAlignment="1">
      <alignment vertical="center"/>
    </xf>
    <xf numFmtId="0" fontId="23" fillId="0" borderId="3" xfId="2" applyFont="1" applyBorder="1" applyAlignment="1">
      <alignment horizontal="left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1" fontId="1" fillId="0" borderId="25" xfId="2" applyNumberFormat="1" applyBorder="1" applyAlignment="1">
      <alignment vertical="center" wrapText="1"/>
    </xf>
    <xf numFmtId="1" fontId="1" fillId="0" borderId="0" xfId="2" applyNumberFormat="1" applyAlignment="1">
      <alignment vertical="center" wrapText="1"/>
    </xf>
    <xf numFmtId="1" fontId="21" fillId="0" borderId="1" xfId="2" applyNumberFormat="1" applyFont="1" applyBorder="1" applyAlignment="1" applyProtection="1">
      <alignment horizontal="center" vertical="center"/>
      <protection locked="0"/>
    </xf>
    <xf numFmtId="1" fontId="3" fillId="0" borderId="25" xfId="2" applyNumberFormat="1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1" xfId="2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7" fillId="0" borderId="0" xfId="2" applyFont="1" applyAlignment="1">
      <alignment vertical="center"/>
    </xf>
    <xf numFmtId="0" fontId="1" fillId="0" borderId="5" xfId="2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1" fontId="36" fillId="0" borderId="0" xfId="2" applyNumberFormat="1" applyFont="1" applyAlignment="1">
      <alignment horizontal="center" vertical="center"/>
    </xf>
    <xf numFmtId="1" fontId="36" fillId="0" borderId="0" xfId="2" applyNumberFormat="1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1" fillId="0" borderId="0" xfId="2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34" fillId="0" borderId="0" xfId="2" applyFont="1" applyAlignment="1">
      <alignment horizontal="centerContinuous" vertical="center"/>
    </xf>
    <xf numFmtId="0" fontId="53" fillId="0" borderId="0" xfId="0" applyFont="1" applyAlignment="1">
      <alignment vertical="center"/>
    </xf>
    <xf numFmtId="15" fontId="36" fillId="0" borderId="0" xfId="0" quotePrefix="1" applyNumberFormat="1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1" fontId="46" fillId="0" borderId="3" xfId="0" applyNumberFormat="1" applyFont="1" applyBorder="1" applyAlignment="1">
      <alignment vertical="center"/>
    </xf>
    <xf numFmtId="1" fontId="46" fillId="0" borderId="4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" fontId="46" fillId="0" borderId="3" xfId="2" applyNumberFormat="1" applyFont="1" applyBorder="1" applyAlignment="1">
      <alignment vertical="center"/>
    </xf>
    <xf numFmtId="1" fontId="46" fillId="0" borderId="4" xfId="2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9" fillId="0" borderId="11" xfId="0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4" xfId="0" applyFont="1" applyBorder="1" applyAlignment="1">
      <alignment vertical="center" wrapText="1"/>
    </xf>
    <xf numFmtId="171" fontId="41" fillId="2" borderId="53" xfId="1" applyNumberFormat="1" applyFont="1" applyAlignment="1">
      <alignment horizontal="center" vertical="center" wrapText="1"/>
    </xf>
    <xf numFmtId="1" fontId="41" fillId="2" borderId="53" xfId="1" applyNumberFormat="1" applyFont="1" applyAlignment="1">
      <alignment horizontal="center" vertical="center" wrapText="1"/>
    </xf>
    <xf numFmtId="0" fontId="57" fillId="0" borderId="1" xfId="0" applyFont="1" applyBorder="1" applyAlignment="1" applyProtection="1">
      <alignment horizontal="center" vertical="center"/>
      <protection locked="0"/>
    </xf>
    <xf numFmtId="1" fontId="58" fillId="0" borderId="25" xfId="0" applyNumberFormat="1" applyFont="1" applyBorder="1" applyAlignment="1">
      <alignment vertical="center"/>
    </xf>
    <xf numFmtId="164" fontId="58" fillId="0" borderId="0" xfId="0" applyNumberFormat="1" applyFont="1" applyAlignment="1">
      <alignment horizontal="left" vertical="center"/>
    </xf>
    <xf numFmtId="3" fontId="48" fillId="0" borderId="26" xfId="0" applyNumberFormat="1" applyFont="1" applyBorder="1" applyAlignment="1">
      <alignment horizontal="center" vertical="center"/>
    </xf>
    <xf numFmtId="1" fontId="48" fillId="0" borderId="27" xfId="0" applyNumberFormat="1" applyFont="1" applyBorder="1" applyAlignment="1">
      <alignment horizontal="center" vertical="center"/>
    </xf>
    <xf numFmtId="164" fontId="59" fillId="0" borderId="0" xfId="0" applyNumberFormat="1" applyFont="1" applyAlignment="1">
      <alignment horizontal="left" vertical="center"/>
    </xf>
    <xf numFmtId="164" fontId="59" fillId="0" borderId="4" xfId="0" applyNumberFormat="1" applyFont="1" applyBorder="1" applyAlignment="1">
      <alignment horizontal="left" vertical="center"/>
    </xf>
    <xf numFmtId="164" fontId="60" fillId="0" borderId="1" xfId="0" applyNumberFormat="1" applyFont="1" applyBorder="1" applyAlignment="1">
      <alignment horizontal="center" vertical="center"/>
    </xf>
    <xf numFmtId="1" fontId="61" fillId="0" borderId="3" xfId="0" applyNumberFormat="1" applyFont="1" applyBorder="1" applyAlignment="1">
      <alignment vertical="center"/>
    </xf>
    <xf numFmtId="164" fontId="48" fillId="0" borderId="26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 wrapText="1" indent="2"/>
    </xf>
    <xf numFmtId="0" fontId="15" fillId="0" borderId="0" xfId="0" applyFont="1" applyAlignment="1">
      <alignment horizontal="left" vertical="center" indent="2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 indent="2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top"/>
    </xf>
    <xf numFmtId="0" fontId="27" fillId="0" borderId="54" xfId="0" applyFont="1" applyBorder="1" applyAlignment="1">
      <alignment horizontal="left" vertical="top"/>
    </xf>
    <xf numFmtId="0" fontId="54" fillId="0" borderId="0" xfId="0" applyFont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49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5" fontId="55" fillId="0" borderId="0" xfId="0" quotePrefix="1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3" fillId="0" borderId="5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/>
    </xf>
    <xf numFmtId="0" fontId="21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3" fontId="30" fillId="0" borderId="0" xfId="2" applyNumberFormat="1" applyFont="1" applyAlignment="1">
      <alignment vertical="center"/>
    </xf>
    <xf numFmtId="0" fontId="34" fillId="0" borderId="0" xfId="2" applyFont="1" applyAlignment="1">
      <alignment vertical="center"/>
    </xf>
    <xf numFmtId="0" fontId="1" fillId="0" borderId="0" xfId="2" applyAlignment="1">
      <alignment vertical="center"/>
    </xf>
    <xf numFmtId="164" fontId="15" fillId="0" borderId="0" xfId="2" applyNumberFormat="1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 indent="2"/>
    </xf>
    <xf numFmtId="0" fontId="28" fillId="0" borderId="0" xfId="2" applyFont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64" fontId="15" fillId="0" borderId="0" xfId="2" applyNumberFormat="1" applyFont="1" applyAlignment="1">
      <alignment horizontal="left" vertical="center" wrapText="1" indent="2"/>
    </xf>
    <xf numFmtId="0" fontId="15" fillId="0" borderId="0" xfId="2" applyFont="1" applyAlignment="1">
      <alignment horizontal="left" vertical="center" indent="2"/>
    </xf>
    <xf numFmtId="0" fontId="1" fillId="0" borderId="25" xfId="2" applyBorder="1" applyAlignment="1">
      <alignment vertical="center" wrapText="1"/>
    </xf>
    <xf numFmtId="0" fontId="1" fillId="0" borderId="26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7" xfId="2" applyBorder="1" applyAlignment="1">
      <alignment vertical="center"/>
    </xf>
    <xf numFmtId="0" fontId="1" fillId="0" borderId="28" xfId="2" applyBorder="1" applyAlignment="1">
      <alignment vertical="center"/>
    </xf>
    <xf numFmtId="0" fontId="1" fillId="0" borderId="29" xfId="2" applyBorder="1" applyAlignment="1">
      <alignment vertical="center"/>
    </xf>
    <xf numFmtId="0" fontId="23" fillId="0" borderId="4" xfId="2" applyFont="1" applyBorder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0" fontId="29" fillId="0" borderId="0" xfId="2" applyFont="1" applyAlignment="1">
      <alignment horizontal="left" vertical="center"/>
    </xf>
    <xf numFmtId="0" fontId="29" fillId="0" borderId="4" xfId="2" applyFont="1" applyBorder="1" applyAlignment="1">
      <alignment horizontal="left" vertical="center"/>
    </xf>
    <xf numFmtId="0" fontId="38" fillId="0" borderId="3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 wrapText="1"/>
    </xf>
    <xf numFmtId="0" fontId="23" fillId="0" borderId="49" xfId="2" applyFont="1" applyBorder="1" applyAlignment="1">
      <alignment horizontal="right" vertical="center"/>
    </xf>
    <xf numFmtId="0" fontId="1" fillId="0" borderId="49" xfId="2" applyBorder="1" applyAlignment="1">
      <alignment horizontal="right" vertical="center"/>
    </xf>
    <xf numFmtId="0" fontId="31" fillId="0" borderId="46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50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23" fillId="0" borderId="4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47" xfId="2" applyFont="1" applyBorder="1" applyAlignment="1">
      <alignment horizontal="center" vertical="center" wrapText="1"/>
    </xf>
    <xf numFmtId="0" fontId="23" fillId="0" borderId="4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49" xfId="2" applyFont="1" applyBorder="1" applyAlignment="1">
      <alignment horizontal="center" vertical="center" wrapText="1"/>
    </xf>
    <xf numFmtId="0" fontId="23" fillId="0" borderId="50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51" xfId="2" applyFont="1" applyBorder="1" applyAlignment="1">
      <alignment horizontal="center" vertical="center" wrapText="1"/>
    </xf>
    <xf numFmtId="15" fontId="23" fillId="0" borderId="0" xfId="2" quotePrefix="1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/>
    </xf>
  </cellXfs>
  <cellStyles count="3">
    <cellStyle name="Check Cell" xfId="1" builtinId="23"/>
    <cellStyle name="Normal" xfId="0" builtinId="0"/>
    <cellStyle name="Normal 2" xfId="2" xr:uid="{FB2673DA-C80E-4EBE-A02E-688279894171}"/>
  </cellStyles>
  <dxfs count="8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strike val="0"/>
        <color rgb="FF006100"/>
      </font>
      <fill>
        <patternFill>
          <bgColor rgb="FFC6EFCE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lor rgb="FF006100"/>
      </font>
      <fill>
        <patternFill>
          <bgColor rgb="FFC6EF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100"/>
      <color rgb="FFC6EFC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E108-7FEC-4EDD-979B-8544ED535DD6}">
  <sheetPr>
    <pageSetUpPr fitToPage="1"/>
  </sheetPr>
  <dimension ref="A1:BF416"/>
  <sheetViews>
    <sheetView tabSelected="1" zoomScale="66" zoomScaleNormal="66" zoomScalePageLayoutView="70" workbookViewId="0">
      <selection activeCell="L20" sqref="L20:M20"/>
    </sheetView>
  </sheetViews>
  <sheetFormatPr baseColWidth="10" defaultColWidth="8.83203125" defaultRowHeight="13"/>
  <cols>
    <col min="1" max="1" width="4.5" style="143" customWidth="1"/>
    <col min="2" max="2" width="21.5" style="143" customWidth="1"/>
    <col min="3" max="3" width="25.5" style="143" customWidth="1"/>
    <col min="4" max="4" width="31.5" style="143" customWidth="1"/>
    <col min="5" max="5" width="12.5" style="143" customWidth="1"/>
    <col min="6" max="6" width="42.5" style="143" customWidth="1"/>
    <col min="7" max="7" width="15.5" style="143" customWidth="1"/>
    <col min="8" max="8" width="20.5" style="143" customWidth="1"/>
    <col min="9" max="9" width="15.5" style="143" customWidth="1"/>
    <col min="10" max="10" width="70.33203125" style="143" customWidth="1"/>
    <col min="11" max="11" width="23.1640625" style="143" customWidth="1"/>
    <col min="12" max="12" width="39.33203125" style="143" bestFit="1" customWidth="1"/>
    <col min="13" max="13" width="46" style="143" customWidth="1"/>
    <col min="14" max="14" width="6.5" style="143" customWidth="1"/>
    <col min="15" max="15" width="6.5" style="21" customWidth="1"/>
    <col min="16" max="16" width="34.5" style="238" customWidth="1"/>
    <col min="17" max="17" width="19.5" style="22" customWidth="1"/>
    <col min="18" max="18" width="6.5" style="130" customWidth="1"/>
    <col min="19" max="19" width="6.5" style="128" customWidth="1"/>
    <col min="20" max="20" width="34.5" style="143" customWidth="1"/>
    <col min="21" max="21" width="19.5" style="143" customWidth="1"/>
    <col min="22" max="22" width="6.5" style="143" customWidth="1"/>
    <col min="23" max="23" width="6.5" style="21" customWidth="1"/>
    <col min="24" max="24" width="55" style="143" customWidth="1"/>
    <col min="25" max="25" width="19.5" style="143" customWidth="1"/>
    <col min="26" max="27" width="6.5" style="143" customWidth="1"/>
    <col min="28" max="28" width="56.1640625" style="143" customWidth="1"/>
    <col min="29" max="29" width="16.1640625" style="143" customWidth="1"/>
    <col min="30" max="30" width="14.1640625" style="143" customWidth="1"/>
    <col min="31" max="31" width="16.5" style="22" customWidth="1"/>
    <col min="32" max="32" width="6.5" style="143" customWidth="1"/>
    <col min="33" max="33" width="9.5" style="143" customWidth="1"/>
    <col min="34" max="34" width="6.5" style="143" customWidth="1"/>
    <col min="35" max="35" width="12.5" style="143" customWidth="1"/>
    <col min="36" max="40" width="6.5" style="143" customWidth="1"/>
    <col min="41" max="41" width="10.1640625" style="143" customWidth="1"/>
    <col min="42" max="42" width="9.83203125" style="143" customWidth="1"/>
    <col min="43" max="43" width="12.1640625" style="143" customWidth="1"/>
    <col min="44" max="44" width="6.5" style="143" customWidth="1"/>
    <col min="45" max="45" width="9" style="143" customWidth="1"/>
    <col min="46" max="46" width="6.5" style="143" customWidth="1"/>
    <col min="47" max="47" width="9.5" style="143" customWidth="1"/>
    <col min="48" max="52" width="6.5" style="143" customWidth="1"/>
    <col min="53" max="16384" width="8.83203125" style="143"/>
  </cols>
  <sheetData>
    <row r="1" spans="1:54" ht="45">
      <c r="A1" s="18" t="s">
        <v>138</v>
      </c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R1" s="143"/>
      <c r="S1" s="21"/>
    </row>
    <row r="2" spans="1:54" ht="45">
      <c r="A2" s="18" t="s">
        <v>139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R2" s="143"/>
      <c r="S2" s="21"/>
    </row>
    <row r="3" spans="1:54" ht="40" customHeight="1">
      <c r="A3" s="617" t="s">
        <v>360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R3" s="143"/>
      <c r="S3" s="21"/>
    </row>
    <row r="4" spans="1:54" ht="30" customHeight="1">
      <c r="A4" s="618" t="s">
        <v>361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R4" s="143"/>
      <c r="S4" s="21"/>
    </row>
    <row r="5" spans="1:54" ht="30" customHeight="1">
      <c r="A5" s="619" t="s">
        <v>257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R5" s="143"/>
      <c r="S5" s="21"/>
    </row>
    <row r="6" spans="1:54" s="26" customFormat="1" ht="16">
      <c r="O6" s="27"/>
      <c r="P6" s="28"/>
      <c r="Q6" s="29"/>
      <c r="S6" s="27"/>
      <c r="W6" s="27"/>
      <c r="AE6" s="29"/>
    </row>
    <row r="7" spans="1:54" s="26" customFormat="1" ht="16">
      <c r="O7" s="27"/>
      <c r="P7" s="28"/>
      <c r="Q7" s="29"/>
      <c r="S7" s="27"/>
      <c r="W7" s="30"/>
    </row>
    <row r="8" spans="1:54" s="26" customFormat="1" ht="16">
      <c r="O8" s="27"/>
      <c r="P8" s="28"/>
      <c r="Q8" s="29"/>
      <c r="S8" s="27"/>
      <c r="W8" s="30"/>
    </row>
    <row r="9" spans="1:54" ht="25" customHeight="1">
      <c r="A9" s="31" t="s">
        <v>172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4"/>
      <c r="R9" s="143"/>
      <c r="S9" s="21"/>
    </row>
    <row r="10" spans="1:54" ht="25" customHeight="1" thickBot="1">
      <c r="A10" s="32" t="s">
        <v>137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/>
      <c r="R10" s="143"/>
      <c r="S10" s="21"/>
    </row>
    <row r="11" spans="1:54" ht="25" customHeight="1" thickTop="1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36"/>
      <c r="L11" s="37"/>
      <c r="M11" s="38"/>
      <c r="O11" s="52" t="s">
        <v>57</v>
      </c>
      <c r="P11" s="40"/>
      <c r="Q11" s="41"/>
      <c r="R11" s="143"/>
      <c r="S11" s="39" t="s">
        <v>81</v>
      </c>
      <c r="T11" s="40"/>
      <c r="U11" s="41"/>
      <c r="W11" s="12" t="s">
        <v>135</v>
      </c>
      <c r="X11" s="42"/>
      <c r="Y11" s="43"/>
      <c r="AE11" s="143"/>
      <c r="BB11" s="44"/>
    </row>
    <row r="12" spans="1:54" ht="25" customHeight="1">
      <c r="A12" s="1"/>
      <c r="B12" s="25"/>
      <c r="C12" s="25"/>
      <c r="D12" s="25"/>
      <c r="E12" s="25"/>
      <c r="F12" s="25"/>
      <c r="G12" s="25"/>
      <c r="H12" s="25"/>
      <c r="I12" s="25"/>
      <c r="J12" s="22"/>
      <c r="K12" s="22"/>
      <c r="M12" s="225"/>
      <c r="O12" s="60"/>
      <c r="P12" s="66"/>
      <c r="Q12" s="75"/>
      <c r="R12" s="143"/>
      <c r="S12" s="45"/>
      <c r="T12" s="46" t="s">
        <v>112</v>
      </c>
      <c r="U12" s="47">
        <f>ROUNDDOWN(CELL_GRAN,0)</f>
        <v>8</v>
      </c>
      <c r="W12" s="221">
        <v>1</v>
      </c>
      <c r="X12" s="143" t="str">
        <f>IF(OR(
               H_PIXELS="",
               V_LINES="",
               IP_FREQ_RQD="",
               RED_BLANK_RQD="",
               AND(RED_BLANK_RQD="Y",
                         RED_BLANK_VER&lt;&gt;2,RED_BLANK_VER&lt;&gt;3),
               AND(RED_BLANK_RQD="Y",RED_BLANK_VER=2, VIDEO_OPT=""),
               AND(RED_BLANK_RQD="Y",
                         RED_BLANK_VER=3,
                         OR(Additional_HBlank ="", Additional_HBlank&lt;0, Additional_HBlank&gt;120))
              ),"ERROR!  Invalid Input Parameters","")</f>
        <v/>
      </c>
      <c r="Y12" s="239" t="str">
        <f>IF(OR(H_PIXELS="",V_LINES="",IP_FREQ_RQD="",RED_BLANK_RQD=""),"Yes","")</f>
        <v/>
      </c>
      <c r="AE12" s="143"/>
      <c r="BB12" s="44"/>
    </row>
    <row r="13" spans="1:54" ht="25" customHeight="1" thickBot="1">
      <c r="A13" s="1"/>
      <c r="B13" s="25"/>
      <c r="C13" s="25"/>
      <c r="D13" s="25"/>
      <c r="E13" s="25"/>
      <c r="F13" s="25"/>
      <c r="G13" s="25"/>
      <c r="H13" s="25"/>
      <c r="I13" s="25"/>
      <c r="J13" s="22"/>
      <c r="K13" s="22"/>
      <c r="M13" s="225"/>
      <c r="O13" s="60" t="s">
        <v>83</v>
      </c>
      <c r="P13" s="66"/>
      <c r="Q13" s="75"/>
      <c r="R13" s="143"/>
      <c r="S13" s="45"/>
      <c r="T13" s="227" t="s">
        <v>261</v>
      </c>
      <c r="U13" s="47">
        <v>350</v>
      </c>
      <c r="W13" s="221">
        <v>2</v>
      </c>
      <c r="X13" s="222" t="str">
        <f>IF(H_PIXELS&lt;&gt;H_PIXELS_RND,"ERROR!  Horizontal Pixel Not Divisible by "&amp;CELL_GRAN&amp;", Count Rounded to Nearest Character Cell","")</f>
        <v/>
      </c>
      <c r="Y13" s="239"/>
      <c r="AE13" s="143"/>
      <c r="BB13" s="44"/>
    </row>
    <row r="14" spans="1:54" ht="35" customHeight="1" thickTop="1" thickBot="1">
      <c r="A14" s="1"/>
      <c r="B14" s="569" t="s">
        <v>273</v>
      </c>
      <c r="C14" s="569"/>
      <c r="D14" s="569"/>
      <c r="E14" s="569"/>
      <c r="F14" s="569"/>
      <c r="G14" s="569"/>
      <c r="H14" s="569"/>
      <c r="I14" s="569"/>
      <c r="J14" s="570"/>
      <c r="K14" s="257">
        <v>3840</v>
      </c>
      <c r="L14" s="615" t="str">
        <f>IF(H_PIXELS&lt;&gt;H_PIXELS_RND,"ERROR! - Not Divisible by "&amp;CELL_GRAN&amp;", rounded to Nearest Character Cell","")</f>
        <v/>
      </c>
      <c r="M14" s="616"/>
      <c r="O14" s="60"/>
      <c r="P14" s="66" t="s">
        <v>84</v>
      </c>
      <c r="Q14" s="77">
        <f>RB_H_PERIOD_EST</f>
        <v>1.6667633535052855</v>
      </c>
      <c r="R14" s="143"/>
      <c r="S14" s="250"/>
      <c r="T14" s="40"/>
      <c r="U14" s="251"/>
      <c r="W14" s="221">
        <v>3</v>
      </c>
      <c r="X14" s="143" t="str">
        <f>IF(V_LINES&lt;&gt;V_LINES_RND,"WARNING!  Vertical Pixel Count Rounded To Nearest Integer  ","")</f>
        <v/>
      </c>
      <c r="Y14" s="239"/>
      <c r="AE14" s="143"/>
      <c r="BB14" s="44"/>
    </row>
    <row r="15" spans="1:54" ht="35" customHeight="1" thickTop="1" thickBot="1">
      <c r="A15" s="1"/>
      <c r="B15" s="569" t="s">
        <v>271</v>
      </c>
      <c r="C15" s="569"/>
      <c r="D15" s="569"/>
      <c r="E15" s="569"/>
      <c r="F15" s="569"/>
      <c r="G15" s="569"/>
      <c r="H15" s="569"/>
      <c r="I15" s="569"/>
      <c r="J15" s="570"/>
      <c r="K15" s="257">
        <v>2160</v>
      </c>
      <c r="L15" s="615" t="str">
        <f>IF(V_LINES&lt;&gt;V_LINES_RND,"WARNING! - Rounded to Nearest Whole Line","")</f>
        <v/>
      </c>
      <c r="M15" s="616"/>
      <c r="O15" s="60"/>
      <c r="P15" s="66"/>
      <c r="Q15" s="75"/>
      <c r="R15" s="143"/>
      <c r="S15" s="39" t="s">
        <v>285</v>
      </c>
      <c r="T15" s="42"/>
      <c r="U15" s="253"/>
      <c r="W15" s="221">
        <v>4</v>
      </c>
      <c r="X15" s="143" t="str">
        <f>IF(F67="Not Standard","WARNING!  Aspect Ratio Not CVT Standard","")</f>
        <v/>
      </c>
      <c r="Y15" s="239"/>
      <c r="AE15" s="143"/>
      <c r="BB15" s="44"/>
    </row>
    <row r="16" spans="1:54" ht="35" customHeight="1" thickTop="1" thickBot="1">
      <c r="A16" s="1"/>
      <c r="B16" s="255" t="s">
        <v>274</v>
      </c>
      <c r="C16" s="255"/>
      <c r="D16" s="256"/>
      <c r="E16" s="256"/>
      <c r="F16" s="256"/>
      <c r="G16" s="612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0.001MHz. Actual frame rate is off target by 0 ppm.</v>
      </c>
      <c r="H16" s="613"/>
      <c r="I16" s="613"/>
      <c r="J16" s="614"/>
      <c r="K16" s="258">
        <v>240</v>
      </c>
      <c r="L16" s="5" t="s">
        <v>9</v>
      </c>
      <c r="M16" s="237"/>
      <c r="O16" s="60" t="s">
        <v>60</v>
      </c>
      <c r="P16" s="66"/>
      <c r="Q16" s="75"/>
      <c r="R16" s="143"/>
      <c r="S16" s="48">
        <v>1</v>
      </c>
      <c r="T16" s="238" t="s">
        <v>115</v>
      </c>
      <c r="U16" s="51"/>
      <c r="W16" s="221">
        <v>5</v>
      </c>
      <c r="X16" s="143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Y16" s="239"/>
      <c r="AE16" s="143"/>
      <c r="BB16" s="44"/>
    </row>
    <row r="17" spans="1:54" ht="35" customHeight="1" thickTop="1" thickBot="1">
      <c r="A17" s="1"/>
      <c r="B17" s="569" t="s">
        <v>275</v>
      </c>
      <c r="C17" s="569"/>
      <c r="D17" s="569"/>
      <c r="E17" s="569"/>
      <c r="F17" s="569"/>
      <c r="G17" s="569"/>
      <c r="H17" s="569"/>
      <c r="I17" s="569"/>
      <c r="J17" s="570"/>
      <c r="K17" s="259" t="s">
        <v>169</v>
      </c>
      <c r="L17" s="615"/>
      <c r="M17" s="616"/>
      <c r="O17" s="60"/>
      <c r="P17" s="238" t="s">
        <v>85</v>
      </c>
      <c r="Q17" s="76">
        <f>RB_H_FREQ</f>
        <v>599.97015306122466</v>
      </c>
      <c r="R17" s="143"/>
      <c r="S17" s="55"/>
      <c r="T17" s="56" t="s">
        <v>114</v>
      </c>
      <c r="U17" s="47">
        <f>IP_FREQ_RQD+(PixelClockPPMAdj/1000000)*IP_FREQ_RQD</f>
        <v>240.084</v>
      </c>
      <c r="W17" s="221">
        <v>6</v>
      </c>
      <c r="X17" s="222" t="str">
        <f>IF(AND(RED_BLANK_RQD="Y",IP_FREQ_RQD&lt;&gt;60),
       IF(RED_BLANK_VER=2,
                 "Note: The standard Refresh Rate for CVT Reduced Blanking v2 is 60 Hz, but other refresh rates are permitted.",
                 ""),
       "")</f>
        <v/>
      </c>
      <c r="Y17" s="239"/>
      <c r="AE17" s="143"/>
      <c r="BB17" s="44"/>
    </row>
    <row r="18" spans="1:54" ht="35" customHeight="1" thickTop="1" thickBot="1">
      <c r="A18" s="1"/>
      <c r="B18" s="569" t="s">
        <v>276</v>
      </c>
      <c r="C18" s="569"/>
      <c r="D18" s="569"/>
      <c r="E18" s="569"/>
      <c r="F18" s="569"/>
      <c r="G18" s="569"/>
      <c r="H18" s="569"/>
      <c r="I18" s="569"/>
      <c r="J18" s="570"/>
      <c r="K18" s="259">
        <v>3</v>
      </c>
      <c r="L18" s="602" t="s">
        <v>370</v>
      </c>
      <c r="M18" s="603"/>
      <c r="O18" s="60" t="s">
        <v>59</v>
      </c>
      <c r="Q18" s="76"/>
      <c r="R18" s="143"/>
      <c r="S18" s="55"/>
      <c r="T18" s="56"/>
      <c r="U18" s="47"/>
      <c r="W18" s="221">
        <v>7</v>
      </c>
      <c r="X18" s="143" t="str">
        <f>IF(AND(Additional_HBlank&gt;0,RED_BLANK_RQD="Y",OR(RED_BLANK_VER=2)),"ERROR: Additional HBlank prohibited for Reduced Blanking v"&amp;RED_BLANK_VER,"")</f>
        <v/>
      </c>
      <c r="Y18" s="239"/>
      <c r="AE18" s="143"/>
      <c r="BB18" s="44"/>
    </row>
    <row r="19" spans="1:54" ht="35" customHeight="1" thickTop="1" thickBot="1">
      <c r="A19" s="1"/>
      <c r="B19" s="608" t="s">
        <v>372</v>
      </c>
      <c r="C19" s="608"/>
      <c r="D19" s="608"/>
      <c r="E19" s="608"/>
      <c r="F19" s="608"/>
      <c r="G19" s="608"/>
      <c r="H19" s="608"/>
      <c r="I19" s="608"/>
      <c r="J19" s="609"/>
      <c r="K19" s="550" t="s">
        <v>1</v>
      </c>
      <c r="L19" s="610" t="s">
        <v>381</v>
      </c>
      <c r="M19" s="611"/>
      <c r="O19" s="60"/>
      <c r="P19" s="238" t="s">
        <v>86</v>
      </c>
      <c r="Q19" s="76">
        <f>RB_FRAME_RATE</f>
        <v>240.08409486243482</v>
      </c>
      <c r="R19" s="143"/>
      <c r="S19" s="55">
        <f>S16+1</f>
        <v>2</v>
      </c>
      <c r="T19" s="56" t="s">
        <v>75</v>
      </c>
      <c r="U19" s="47"/>
      <c r="W19" s="221">
        <v>8</v>
      </c>
      <c r="X19" s="143" t="str">
        <f>IF(AND(EARLY_VSYNC_RQD="y",RED_BLANK_RQD="Y",OR(RED_BLANK_VER=2)),"ERROR: Early Vsync prohibited for Reduced Blanking v"&amp;RED_BLANK_VER,"")</f>
        <v/>
      </c>
      <c r="Y19" s="239"/>
      <c r="AE19" s="143"/>
      <c r="BB19" s="44"/>
    </row>
    <row r="20" spans="1:54" ht="36.75" customHeight="1" thickTop="1" thickBot="1">
      <c r="A20" s="1"/>
      <c r="B20" s="601" t="s">
        <v>362</v>
      </c>
      <c r="C20" s="601"/>
      <c r="D20" s="601"/>
      <c r="E20" s="601"/>
      <c r="F20" s="601"/>
      <c r="G20" s="601"/>
      <c r="H20" s="601"/>
      <c r="I20" s="601"/>
      <c r="J20" s="607"/>
      <c r="K20" s="259" t="s">
        <v>1</v>
      </c>
      <c r="L20" s="602" t="s">
        <v>322</v>
      </c>
      <c r="M20" s="603"/>
      <c r="O20" s="60" t="s">
        <v>58</v>
      </c>
      <c r="Q20" s="76"/>
      <c r="R20" s="143"/>
      <c r="S20" s="57"/>
      <c r="T20" s="58" t="s">
        <v>97</v>
      </c>
      <c r="U20" s="59">
        <f>ROUNDDOWN(H_PIXELS/CELL_GRAN_RND,0)*CELL_GRAN_RND</f>
        <v>3840</v>
      </c>
      <c r="W20" s="221">
        <v>9</v>
      </c>
      <c r="X20" s="143" t="str">
        <f>IF(AND(VIDEO_OPT="y",RED_BLANK_RQD="Y",OR(RED_BLANK_VER=3)),"ERROR: NTSC Video optimized variant prohibited for Reduced Blanking v"&amp;RED_BLANK_VER,"")</f>
        <v/>
      </c>
      <c r="Y20" s="239"/>
      <c r="AE20" s="143"/>
      <c r="BB20" s="44"/>
    </row>
    <row r="21" spans="1:54" ht="57" customHeight="1" thickTop="1" thickBot="1">
      <c r="A21" s="1"/>
      <c r="B21" s="601" t="s">
        <v>363</v>
      </c>
      <c r="C21" s="601"/>
      <c r="D21" s="601"/>
      <c r="E21" s="601"/>
      <c r="F21" s="601"/>
      <c r="G21" s="601"/>
      <c r="H21" s="601"/>
      <c r="I21" s="601"/>
      <c r="J21" s="607"/>
      <c r="K21" s="260">
        <v>0</v>
      </c>
      <c r="L21" s="602" t="s">
        <v>323</v>
      </c>
      <c r="M21" s="603"/>
      <c r="O21" s="60"/>
      <c r="P21" s="227" t="s">
        <v>87</v>
      </c>
      <c r="Q21" s="76">
        <f>RB_PIXEL_FREQ</f>
        <v>2351.8830000000003</v>
      </c>
      <c r="R21" s="143"/>
      <c r="S21" s="60"/>
      <c r="T21" s="61" t="s">
        <v>77</v>
      </c>
      <c r="U21" s="59"/>
      <c r="W21" s="554">
        <v>10</v>
      </c>
      <c r="X21" s="240" t="str">
        <f>IF(OR(RB_V3_ADD_V_BLANK&gt;(IF(ALT_VBLANK_MIN_RQD="N",245,140)+F72)),"ERROR: Additional Vertical Blank is out of range",IF(MOD(RB_V3_ADD_V_BLANK,IF(ALT_VBLANK_MIN_RQD="N",35,20))&gt;0,"Warning! Additional Vertical Blank does not have required granularity for DisplayID Type X Descriptor",""))</f>
        <v/>
      </c>
      <c r="Y21" s="50"/>
      <c r="AE21" s="143"/>
      <c r="BB21" s="44"/>
    </row>
    <row r="22" spans="1:54" ht="35" customHeight="1" thickTop="1" thickBot="1">
      <c r="A22" s="1"/>
      <c r="B22" s="601" t="s">
        <v>364</v>
      </c>
      <c r="C22" s="601"/>
      <c r="D22" s="601"/>
      <c r="E22" s="601"/>
      <c r="F22" s="601"/>
      <c r="G22" s="601"/>
      <c r="H22" s="601"/>
      <c r="I22" s="601"/>
      <c r="J22" s="601"/>
      <c r="K22" s="259" t="s">
        <v>1</v>
      </c>
      <c r="L22" s="602" t="s">
        <v>323</v>
      </c>
      <c r="M22" s="603"/>
      <c r="O22" s="48"/>
      <c r="Q22" s="86"/>
      <c r="R22" s="143"/>
      <c r="S22" s="60"/>
      <c r="T22" s="66" t="s">
        <v>100</v>
      </c>
      <c r="U22" s="59">
        <f>H_PIXELS_RND</f>
        <v>3840</v>
      </c>
      <c r="W22" s="22"/>
      <c r="AE22" s="143"/>
      <c r="BB22" s="44"/>
    </row>
    <row r="23" spans="1:54" ht="99.75" customHeight="1" thickTop="1" thickBot="1">
      <c r="A23" s="1"/>
      <c r="B23" s="601" t="s">
        <v>371</v>
      </c>
      <c r="C23" s="601"/>
      <c r="D23" s="601"/>
      <c r="E23" s="601"/>
      <c r="F23" s="601"/>
      <c r="G23" s="601"/>
      <c r="H23" s="604" t="str">
        <f>"Note: additional vertical blank time in the range 0 to 245 us (Default Minimum VBLANK) or 0 to 140 us (Alternate Minimum VBLANK) plus duration of one horizontal line may be added." &amp; " DisplayID Type X descriptor additionally requires increments of 35 microseconds (Default Minimum VBLANK) or 20 us (Alternate Minimum VBLANK)"</f>
        <v>Note: additional vertical blank time in the range 0 to 245 us (Default Minimum VBLANK) or 0 to 140 us (Alternate Minimum VBLANK) plus duration of one horizontal line may be added. DisplayID Type X descriptor additionally requires increments of 35 microseconds (Default Minimum VBLANK) or 20 us (Alternate Minimum VBLANK)</v>
      </c>
      <c r="I23" s="604"/>
      <c r="J23" s="604"/>
      <c r="K23" s="261">
        <v>105</v>
      </c>
      <c r="L23" s="605" t="s">
        <v>323</v>
      </c>
      <c r="M23" s="606"/>
      <c r="O23" s="60" t="s">
        <v>61</v>
      </c>
      <c r="Q23" s="86"/>
      <c r="R23" s="143"/>
      <c r="S23" s="60"/>
      <c r="T23" s="66"/>
      <c r="U23" s="59"/>
      <c r="W23" s="12" t="s">
        <v>136</v>
      </c>
      <c r="X23" s="42"/>
      <c r="Y23" s="43"/>
      <c r="AE23" s="143"/>
      <c r="BB23" s="44"/>
    </row>
    <row r="24" spans="1:54" ht="75" customHeight="1" thickTop="1">
      <c r="A24" s="1"/>
      <c r="B24" s="4"/>
      <c r="C24" s="4"/>
      <c r="D24" s="235"/>
      <c r="E24" s="235"/>
      <c r="F24" s="235"/>
      <c r="G24" s="6"/>
      <c r="H24" s="54"/>
      <c r="I24" s="54"/>
      <c r="J24" s="238"/>
      <c r="K24" s="7"/>
      <c r="M24" s="237"/>
      <c r="O24" s="60"/>
      <c r="P24" s="238" t="s">
        <v>88</v>
      </c>
      <c r="Q24" s="86">
        <f>RB_H_TOTAL</f>
        <v>3920</v>
      </c>
      <c r="R24" s="143"/>
      <c r="S24" s="60">
        <f>S19+1</f>
        <v>3</v>
      </c>
      <c r="T24" s="61" t="s">
        <v>78</v>
      </c>
      <c r="U24" s="59"/>
      <c r="W24" s="142"/>
      <c r="Y24" s="239"/>
      <c r="AE24" s="143"/>
      <c r="BB24" s="44"/>
    </row>
    <row r="25" spans="1:54" ht="25" customHeight="1">
      <c r="A25" s="1"/>
      <c r="B25" s="236"/>
      <c r="C25" s="583" t="s">
        <v>71</v>
      </c>
      <c r="D25" s="585" t="str">
        <f>IF(ISNUMBER(SEARCH("error",W25)),W25,"OK")</f>
        <v>OK</v>
      </c>
      <c r="E25" s="586"/>
      <c r="F25" s="586"/>
      <c r="G25" s="586"/>
      <c r="H25" s="586"/>
      <c r="I25" s="586"/>
      <c r="J25" s="585" t="str">
        <f>IF(ISNUMBER(SEARCH("warning",W25)),W25,"") &amp; IF(ISNUMBER(SEARCH("warning",M98)),M98,"")</f>
        <v/>
      </c>
      <c r="K25" s="586"/>
      <c r="L25" s="591"/>
      <c r="M25" s="8"/>
      <c r="O25" s="60" t="s">
        <v>62</v>
      </c>
      <c r="Q25" s="86"/>
      <c r="R25" s="143"/>
      <c r="S25" s="57"/>
      <c r="T25" s="58" t="s">
        <v>101</v>
      </c>
      <c r="U25" s="59">
        <f>ROUNDDOWN(V_LINES,0)</f>
        <v>2160</v>
      </c>
      <c r="W25" s="594" t="str">
        <f>IF(X12&lt;&gt;"",X12 &amp; CHAR(10),"") &amp; IF(X13&lt;&gt;"",X13 &amp; CHAR(10),"") &amp; IF(X14&lt;&gt;"",X14 &amp; CHAR(10),"") &amp; IF(X15&lt;&gt;"",X15 &amp; CHAR(10),"") &amp; IF(X16&lt;&gt;"",X16 &amp; CHAR(10),"") &amp; IF(X17&lt;&gt;"",X17 &amp; CHAR(10),"")&amp;IF(X18&lt;&gt;"",X18 &amp; CHAR(10),"")&amp; IF(X19&lt;&gt;"",X19 &amp; CHAR(10),"")&amp; IF(X20&lt;&gt;"",X20 &amp; CHAR(10),"")&amp; IF(X21&lt;&gt;"",X21 &amp; CHAR(10),"")</f>
        <v/>
      </c>
      <c r="X25" s="595"/>
      <c r="Y25" s="596"/>
      <c r="AE25" s="143"/>
      <c r="BB25" s="44"/>
    </row>
    <row r="26" spans="1:54" ht="25" customHeight="1">
      <c r="A26" s="1"/>
      <c r="B26" s="236"/>
      <c r="C26" s="584"/>
      <c r="D26" s="587"/>
      <c r="E26" s="588"/>
      <c r="F26" s="588"/>
      <c r="G26" s="588"/>
      <c r="H26" s="588"/>
      <c r="I26" s="588"/>
      <c r="J26" s="587"/>
      <c r="K26" s="588"/>
      <c r="L26" s="592"/>
      <c r="M26" s="8"/>
      <c r="O26" s="60"/>
      <c r="P26" s="238" t="s">
        <v>89</v>
      </c>
      <c r="Q26" s="86">
        <f>RB_H_BLANK</f>
        <v>80</v>
      </c>
      <c r="R26" s="44"/>
      <c r="S26" s="57"/>
      <c r="T26" s="58"/>
      <c r="U26" s="59"/>
      <c r="W26" s="597"/>
      <c r="X26" s="595"/>
      <c r="Y26" s="596"/>
      <c r="AE26" s="143"/>
      <c r="BB26" s="44"/>
    </row>
    <row r="27" spans="1:54" ht="25" customHeight="1" thickBot="1">
      <c r="A27" s="1"/>
      <c r="B27" s="236"/>
      <c r="C27" s="584"/>
      <c r="D27" s="587"/>
      <c r="E27" s="588"/>
      <c r="F27" s="588"/>
      <c r="G27" s="588"/>
      <c r="H27" s="588"/>
      <c r="I27" s="588"/>
      <c r="J27" s="587"/>
      <c r="K27" s="588"/>
      <c r="L27" s="592"/>
      <c r="M27" s="8"/>
      <c r="O27" s="60" t="s">
        <v>64</v>
      </c>
      <c r="Q27" s="86"/>
      <c r="R27" s="143"/>
      <c r="S27" s="551">
        <f>S24+1</f>
        <v>4</v>
      </c>
      <c r="T27" s="552" t="s">
        <v>376</v>
      </c>
      <c r="U27" s="553"/>
      <c r="W27" s="598"/>
      <c r="X27" s="599"/>
      <c r="Y27" s="600"/>
      <c r="AE27" s="143"/>
      <c r="BB27" s="44"/>
    </row>
    <row r="28" spans="1:54" ht="25" customHeight="1">
      <c r="A28" s="1"/>
      <c r="B28" s="236"/>
      <c r="C28" s="584"/>
      <c r="D28" s="587"/>
      <c r="E28" s="588"/>
      <c r="F28" s="588"/>
      <c r="G28" s="588"/>
      <c r="H28" s="588"/>
      <c r="I28" s="588"/>
      <c r="J28" s="587"/>
      <c r="K28" s="588"/>
      <c r="L28" s="592"/>
      <c r="M28" s="8"/>
      <c r="O28" s="60"/>
      <c r="P28" s="238" t="s">
        <v>90</v>
      </c>
      <c r="Q28" s="86">
        <f xml:space="preserve"> K109</f>
        <v>8</v>
      </c>
      <c r="R28" s="44"/>
      <c r="S28" s="551"/>
      <c r="T28" s="552"/>
      <c r="U28" s="553"/>
      <c r="W28" s="22"/>
      <c r="AE28" s="143"/>
      <c r="BB28" s="44"/>
    </row>
    <row r="29" spans="1:54" ht="25" customHeight="1">
      <c r="A29" s="1"/>
      <c r="B29" s="236"/>
      <c r="C29" s="584"/>
      <c r="D29" s="587"/>
      <c r="E29" s="588"/>
      <c r="F29" s="588"/>
      <c r="G29" s="588"/>
      <c r="H29" s="588"/>
      <c r="I29" s="588"/>
      <c r="J29" s="587"/>
      <c r="K29" s="588"/>
      <c r="L29" s="592"/>
      <c r="M29" s="216"/>
      <c r="O29" s="60" t="s">
        <v>65</v>
      </c>
      <c r="Q29" s="86"/>
      <c r="R29" s="44"/>
      <c r="S29" s="551"/>
      <c r="T29" s="552" t="s">
        <v>377</v>
      </c>
      <c r="U29" s="553">
        <f>IF(ALT_VBLANK_MIN_RQD="N",K112,K113)</f>
        <v>460</v>
      </c>
      <c r="W29" s="22"/>
      <c r="AE29" s="143"/>
      <c r="BB29" s="44"/>
    </row>
    <row r="30" spans="1:54" ht="25" customHeight="1">
      <c r="A30" s="1"/>
      <c r="B30" s="236"/>
      <c r="C30" s="584"/>
      <c r="D30" s="587"/>
      <c r="E30" s="588"/>
      <c r="F30" s="588"/>
      <c r="G30" s="588"/>
      <c r="H30" s="588"/>
      <c r="I30" s="588"/>
      <c r="J30" s="587"/>
      <c r="K30" s="588"/>
      <c r="L30" s="592"/>
      <c r="M30" s="8"/>
      <c r="O30" s="60"/>
      <c r="P30" s="238" t="s">
        <v>91</v>
      </c>
      <c r="Q30" s="86">
        <f>U78</f>
        <v>32</v>
      </c>
      <c r="R30" s="44"/>
      <c r="S30" s="48"/>
      <c r="U30" s="47"/>
      <c r="W30" s="22"/>
      <c r="AE30" s="143"/>
      <c r="BB30" s="44"/>
    </row>
    <row r="31" spans="1:54" ht="25" customHeight="1">
      <c r="A31" s="1"/>
      <c r="B31" s="236"/>
      <c r="C31" s="584"/>
      <c r="D31" s="589"/>
      <c r="E31" s="590"/>
      <c r="F31" s="590"/>
      <c r="G31" s="590"/>
      <c r="H31" s="590"/>
      <c r="I31" s="590"/>
      <c r="J31" s="589"/>
      <c r="K31" s="590"/>
      <c r="L31" s="593"/>
      <c r="M31" s="8"/>
      <c r="O31" s="60" t="s">
        <v>66</v>
      </c>
      <c r="Q31" s="86"/>
      <c r="R31" s="143"/>
      <c r="S31" s="48">
        <f>S27+1</f>
        <v>5</v>
      </c>
      <c r="T31" s="53" t="s">
        <v>124</v>
      </c>
      <c r="U31" s="47"/>
      <c r="W31" s="22"/>
      <c r="AE31" s="143"/>
      <c r="BB31" s="44"/>
    </row>
    <row r="32" spans="1:54" ht="35" customHeight="1" thickBot="1">
      <c r="A32" s="1"/>
      <c r="B32" s="236"/>
      <c r="C32" s="130"/>
      <c r="D32" s="241"/>
      <c r="E32" s="241"/>
      <c r="F32" s="241"/>
      <c r="G32" s="241"/>
      <c r="H32" s="241"/>
      <c r="I32" s="241"/>
      <c r="J32" s="241"/>
      <c r="K32" s="241"/>
      <c r="L32" s="241"/>
      <c r="M32" s="8"/>
      <c r="O32" s="60"/>
      <c r="P32" s="238" t="s">
        <v>92</v>
      </c>
      <c r="Q32" s="86">
        <f>H_BLANK-H_FRONT_PORCH-H_SYNC_RND</f>
        <v>40</v>
      </c>
      <c r="R32" s="143"/>
      <c r="S32" s="48"/>
      <c r="T32" s="44" t="s">
        <v>116</v>
      </c>
      <c r="U32" s="47">
        <f>((1000000/V_FIELD_RATE_RQD)-RB_MIN_V_BLANK)/(V_LINES_RND)</f>
        <v>1.6667633535052855</v>
      </c>
      <c r="W32" s="22"/>
      <c r="AE32" s="143"/>
      <c r="BB32" s="44"/>
    </row>
    <row r="33" spans="1:54" ht="35" customHeight="1" thickTop="1" thickBot="1">
      <c r="A33" s="1"/>
      <c r="B33" s="569" t="s">
        <v>365</v>
      </c>
      <c r="C33" s="569"/>
      <c r="D33" s="569"/>
      <c r="E33" s="569"/>
      <c r="F33" s="569"/>
      <c r="G33" s="569"/>
      <c r="H33" s="569"/>
      <c r="I33" s="569"/>
      <c r="J33" s="570"/>
      <c r="K33" s="136">
        <v>24</v>
      </c>
      <c r="L33" s="135" t="s">
        <v>175</v>
      </c>
      <c r="M33" s="8"/>
      <c r="O33" s="48"/>
      <c r="Q33" s="86"/>
      <c r="R33" s="143"/>
      <c r="S33" s="48"/>
      <c r="T33" s="44"/>
      <c r="U33" s="47"/>
      <c r="W33" s="22"/>
      <c r="AE33" s="143"/>
      <c r="BB33" s="44"/>
    </row>
    <row r="34" spans="1:54" ht="35" customHeight="1" thickTop="1" thickBot="1">
      <c r="A34" s="1"/>
      <c r="B34" s="569" t="s">
        <v>366</v>
      </c>
      <c r="C34" s="569"/>
      <c r="D34" s="569"/>
      <c r="E34" s="569"/>
      <c r="F34" s="569"/>
      <c r="G34" s="569"/>
      <c r="H34" s="569"/>
      <c r="I34" s="569"/>
      <c r="J34" s="570"/>
      <c r="K34" s="136">
        <v>4</v>
      </c>
      <c r="L34" s="135" t="s">
        <v>173</v>
      </c>
      <c r="M34" s="8"/>
      <c r="O34" s="60" t="s">
        <v>63</v>
      </c>
      <c r="Q34" s="86"/>
      <c r="R34" s="143"/>
      <c r="S34" s="48">
        <f>S31+1</f>
        <v>6</v>
      </c>
      <c r="T34" s="203" t="s">
        <v>283</v>
      </c>
      <c r="U34" s="47"/>
      <c r="W34" s="22"/>
      <c r="AE34" s="143"/>
      <c r="BB34" s="44"/>
    </row>
    <row r="35" spans="1:54" ht="35" customHeight="1" thickTop="1" thickBot="1">
      <c r="A35" s="1"/>
      <c r="B35" s="569" t="s">
        <v>367</v>
      </c>
      <c r="C35" s="569"/>
      <c r="D35" s="569"/>
      <c r="E35" s="569"/>
      <c r="F35" s="569"/>
      <c r="G35" s="569"/>
      <c r="H35" s="569"/>
      <c r="I35" s="569"/>
      <c r="J35" s="570"/>
      <c r="K35" s="137">
        <v>10</v>
      </c>
      <c r="L35" s="135" t="s">
        <v>174</v>
      </c>
      <c r="M35" s="8"/>
      <c r="O35" s="60"/>
      <c r="P35" s="238" t="s">
        <v>93</v>
      </c>
      <c r="Q35" s="90">
        <f>RB_TOTAL_V_LINES</f>
        <v>2499</v>
      </c>
      <c r="R35" s="143"/>
      <c r="S35" s="48"/>
      <c r="T35" s="134" t="s">
        <v>284</v>
      </c>
      <c r="U35" s="51">
        <f>RB_MIN_V_BLANK</f>
        <v>565</v>
      </c>
      <c r="W35" s="22"/>
      <c r="AE35" s="143"/>
      <c r="BB35" s="44"/>
    </row>
    <row r="36" spans="1:54" ht="35" customHeight="1" thickTop="1" thickBot="1">
      <c r="A36" s="1"/>
      <c r="B36" s="262" t="s">
        <v>368</v>
      </c>
      <c r="C36" s="263"/>
      <c r="D36" s="264"/>
      <c r="E36" s="264"/>
      <c r="F36" s="264"/>
      <c r="G36" s="264"/>
      <c r="H36" s="264"/>
      <c r="I36" s="264"/>
      <c r="J36" s="264"/>
      <c r="K36" s="137">
        <v>0</v>
      </c>
      <c r="L36" s="135"/>
      <c r="M36" s="8"/>
      <c r="O36" s="60" t="s">
        <v>67</v>
      </c>
      <c r="Q36" s="90"/>
      <c r="R36" s="143"/>
      <c r="S36" s="48">
        <f>S34+1</f>
        <v>7</v>
      </c>
      <c r="T36" s="203" t="s">
        <v>131</v>
      </c>
      <c r="U36" s="47"/>
      <c r="W36" s="22"/>
      <c r="AE36" s="143"/>
      <c r="BB36" s="44"/>
    </row>
    <row r="37" spans="1:54" ht="35" customHeight="1" thickTop="1" thickBot="1">
      <c r="A37" s="1"/>
      <c r="B37" s="262" t="s">
        <v>369</v>
      </c>
      <c r="C37" s="263"/>
      <c r="D37" s="264"/>
      <c r="E37" s="264"/>
      <c r="F37" s="264"/>
      <c r="G37" s="264"/>
      <c r="H37" s="264"/>
      <c r="I37" s="264"/>
      <c r="J37" s="264"/>
      <c r="K37" s="137">
        <v>0</v>
      </c>
      <c r="L37" s="135"/>
      <c r="M37" s="8"/>
      <c r="O37" s="60"/>
      <c r="P37" s="238" t="s">
        <v>94</v>
      </c>
      <c r="Q37" s="86">
        <f>ACT_VBI_LINES</f>
        <v>339</v>
      </c>
      <c r="R37" s="143"/>
      <c r="S37" s="48"/>
      <c r="T37" s="44" t="s">
        <v>107</v>
      </c>
      <c r="U37" s="47">
        <f>ROUNDUP(RB_MIN_V_BLANK/RB_H_PERIOD_EST,0)</f>
        <v>339</v>
      </c>
      <c r="W37" s="22"/>
      <c r="AE37" s="143"/>
      <c r="BB37" s="44"/>
    </row>
    <row r="38" spans="1:54" ht="35" customHeight="1" thickTop="1" thickBot="1">
      <c r="A38" s="1"/>
      <c r="L38" s="135"/>
      <c r="M38" s="8"/>
      <c r="O38" s="60" t="s">
        <v>68</v>
      </c>
      <c r="Q38" s="86"/>
      <c r="R38" s="143"/>
      <c r="S38" s="48"/>
      <c r="T38" s="143" t="s">
        <v>55</v>
      </c>
      <c r="U38" s="51">
        <f>RB_MIN_V_BLANK/RB_H_PERIOD_EST</f>
        <v>338.98033503783074</v>
      </c>
      <c r="W38" s="22"/>
      <c r="AE38" s="143"/>
      <c r="BB38" s="44"/>
    </row>
    <row r="39" spans="1:54" ht="35" customHeight="1" thickTop="1" thickBot="1">
      <c r="A39" s="1"/>
      <c r="B39" s="569" t="s">
        <v>178</v>
      </c>
      <c r="C39" s="569"/>
      <c r="D39" s="569"/>
      <c r="E39" s="569"/>
      <c r="F39" s="569"/>
      <c r="G39" s="569"/>
      <c r="H39" s="569"/>
      <c r="I39" s="569"/>
      <c r="J39" s="571"/>
      <c r="K39" s="139">
        <f>DSCBitsPerPixel+(DSCBitsPerPixel_Frac/16)</f>
        <v>0</v>
      </c>
      <c r="L39" s="135" t="s">
        <v>174</v>
      </c>
      <c r="M39" s="8"/>
      <c r="O39" s="60"/>
      <c r="P39" s="238" t="s">
        <v>95</v>
      </c>
      <c r="Q39" s="86">
        <f>V_BLANK-V_BACK_PORCH-V_SYNC_RND</f>
        <v>325</v>
      </c>
      <c r="R39" s="143"/>
      <c r="S39" s="48"/>
      <c r="U39" s="51"/>
      <c r="W39" s="22"/>
      <c r="X39" s="44"/>
      <c r="AE39" s="143"/>
      <c r="BB39" s="44"/>
    </row>
    <row r="40" spans="1:54" ht="35" customHeight="1" thickTop="1" thickBot="1">
      <c r="A40" s="1"/>
      <c r="B40" s="578" t="s">
        <v>176</v>
      </c>
      <c r="C40" s="578"/>
      <c r="D40" s="578"/>
      <c r="E40" s="578"/>
      <c r="F40" s="578"/>
      <c r="G40" s="578"/>
      <c r="H40" s="578"/>
      <c r="I40" s="578"/>
      <c r="J40" s="579"/>
      <c r="K40" s="139">
        <f>ROUND(ACT_PIXEL_FREQ*(IF((TargetDSCBitsPerPixel &lt;= 0), DPBitsPerPixel, TargetDSCBitsPerPixel)/1000),3)</f>
        <v>56.445</v>
      </c>
      <c r="L40" s="135" t="s">
        <v>174</v>
      </c>
      <c r="M40" s="8"/>
      <c r="O40" s="60" t="s">
        <v>69</v>
      </c>
      <c r="Q40" s="86"/>
      <c r="R40" s="143"/>
      <c r="S40" s="48">
        <f>S36+1</f>
        <v>8</v>
      </c>
      <c r="T40" s="134" t="s">
        <v>143</v>
      </c>
      <c r="U40" s="51"/>
      <c r="W40" s="22"/>
      <c r="AE40" s="143"/>
      <c r="BB40" s="44"/>
    </row>
    <row r="41" spans="1:54" ht="39.75" customHeight="1" thickTop="1" thickBot="1">
      <c r="A41" s="1"/>
      <c r="B41" s="569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x1.034 for the timing</v>
      </c>
      <c r="C41" s="569"/>
      <c r="D41" s="569"/>
      <c r="E41" s="569"/>
      <c r="F41" s="569"/>
      <c r="G41" s="569"/>
      <c r="H41" s="569"/>
      <c r="I41" s="569"/>
      <c r="J41" s="571"/>
      <c r="K41" s="139">
        <f>ROUND(ACT_PIXEL_FREQ*(IF((TargetDSCBitsPerPixel &lt;= 0), DPBitsPerPixel, TargetDSCBitsPerPixel/IF(DPRate&lt;10, (1-(2.4/100)),1))/(IF(DPRate&lt;10, 8/10,0.9671)*1000)),3)</f>
        <v>58.365000000000002</v>
      </c>
      <c r="L41" s="135"/>
      <c r="M41" s="8"/>
      <c r="O41" s="60"/>
      <c r="P41" s="238" t="s">
        <v>96</v>
      </c>
      <c r="Q41" s="86">
        <f>INT(V_SYNC)</f>
        <v>8</v>
      </c>
      <c r="R41" s="143"/>
      <c r="S41" s="48"/>
      <c r="T41" s="134" t="s">
        <v>251</v>
      </c>
      <c r="U41" s="51">
        <f>IF(AND((RED_BLANK_RQD="y"),(RED_BLANK_VER=3),EARLY_VSYNC_RQD ="y"), ROUNDDOWN(VBI_LINES/2,0), RB_MIN_V_BPORCH)</f>
        <v>6</v>
      </c>
      <c r="W41" s="22"/>
      <c r="AE41" s="143"/>
      <c r="BB41" s="44"/>
    </row>
    <row r="42" spans="1:54" ht="39.75" customHeight="1" thickTop="1" thickBot="1">
      <c r="A42" s="1"/>
      <c r="B42" s="569" t="str">
        <f>"Is the timing supported with "&amp;DPLanes&amp;" Lanes @ "&amp;DPRate&amp;" Gbps DisplayPort Link Configuration?"</f>
        <v>Is the timing supported with 4 Lanes @ 10 Gbps DisplayPort Link Configuration?</v>
      </c>
      <c r="C42" s="569"/>
      <c r="D42" s="569"/>
      <c r="E42" s="569"/>
      <c r="F42" s="569"/>
      <c r="G42" s="569"/>
      <c r="H42" s="569"/>
      <c r="I42" s="569"/>
      <c r="J42" s="571"/>
      <c r="K42" s="140" t="str">
        <f>IF(RequiredRawDPLinkBW&lt;=(DPLanes*DPRate),"YES","NO")</f>
        <v>NO</v>
      </c>
      <c r="L42" s="135"/>
      <c r="M42" s="8"/>
      <c r="O42" s="60" t="s">
        <v>70</v>
      </c>
      <c r="Q42" s="86"/>
      <c r="R42" s="143"/>
      <c r="S42" s="48"/>
      <c r="T42" s="143" t="s">
        <v>156</v>
      </c>
      <c r="U42" s="51">
        <f>RB_V_FPORCH+V_SYNC_RND+RB_MIN_V_BPORCH</f>
        <v>15</v>
      </c>
      <c r="W42" s="22"/>
      <c r="AE42" s="143"/>
      <c r="BB42" s="44"/>
    </row>
    <row r="43" spans="1:54" ht="29" thickTop="1">
      <c r="A43" s="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135"/>
      <c r="M43" s="8"/>
      <c r="O43" s="60"/>
      <c r="P43" s="227" t="s">
        <v>356</v>
      </c>
      <c r="Q43" s="86">
        <f>IF(AND((RED_BLANK_RQD="y"),(RED_BLANK_VER=3),EARLY_VSYNC_RQD ="y"), ROUNDDOWN(ACT_VBI_LINES/2,0), RB_MIN_V_BPORCH)</f>
        <v>6</v>
      </c>
      <c r="R43" s="143"/>
      <c r="S43" s="48"/>
      <c r="T43" s="143" t="s">
        <v>144</v>
      </c>
      <c r="U43" s="51">
        <f>IF(VBI_LINES&lt;RB_MIN_VBI,RB_MIN_VBI,VBI_LINES)</f>
        <v>339</v>
      </c>
      <c r="W43" s="22"/>
      <c r="AE43" s="143"/>
      <c r="BB43" s="44"/>
    </row>
    <row r="44" spans="1:54" ht="29.25" customHeight="1" thickBot="1">
      <c r="A44" s="1"/>
      <c r="M44" s="8"/>
      <c r="O44" s="49"/>
      <c r="P44" s="100"/>
      <c r="Q44" s="81"/>
      <c r="R44" s="143"/>
      <c r="S44" s="48"/>
      <c r="U44" s="51"/>
      <c r="W44" s="22"/>
      <c r="AE44" s="143"/>
      <c r="BB44" s="44"/>
    </row>
    <row r="45" spans="1:54" ht="29.25" customHeight="1" thickTop="1" thickBot="1">
      <c r="A45" s="1"/>
      <c r="B45" s="544" t="s">
        <v>327</v>
      </c>
      <c r="C45" s="255"/>
      <c r="D45" s="255"/>
      <c r="E45" s="255"/>
      <c r="F45" s="255"/>
      <c r="G45" s="255"/>
      <c r="H45" s="255"/>
      <c r="I45" s="255"/>
      <c r="J45" s="543"/>
      <c r="K45" s="137">
        <v>24</v>
      </c>
      <c r="L45" s="580" t="s">
        <v>339</v>
      </c>
      <c r="M45" s="581"/>
      <c r="R45" s="143"/>
      <c r="S45" s="48">
        <f>S40+1</f>
        <v>9</v>
      </c>
      <c r="T45" s="44" t="s">
        <v>127</v>
      </c>
      <c r="U45" s="47"/>
      <c r="W45" s="22"/>
      <c r="AE45" s="143"/>
      <c r="BB45" s="44"/>
    </row>
    <row r="46" spans="1:54" ht="30" customHeight="1" thickTop="1" thickBot="1">
      <c r="A46" s="1"/>
      <c r="B46" s="544"/>
      <c r="C46" s="255"/>
      <c r="D46" s="255"/>
      <c r="E46" s="255"/>
      <c r="F46" s="255"/>
      <c r="G46" s="255"/>
      <c r="H46" s="255"/>
      <c r="I46" s="255"/>
      <c r="J46" s="255"/>
      <c r="K46" s="545"/>
      <c r="L46" s="580"/>
      <c r="M46" s="581"/>
      <c r="P46" s="127"/>
      <c r="Q46" s="223"/>
      <c r="R46" s="143"/>
      <c r="S46" s="48"/>
      <c r="T46" s="67" t="s">
        <v>10</v>
      </c>
      <c r="U46" s="47">
        <f>ACT_VBI_LINES+V_LINES_RND</f>
        <v>2499</v>
      </c>
      <c r="W46" s="22"/>
      <c r="AE46" s="143"/>
      <c r="BB46" s="44"/>
    </row>
    <row r="47" spans="1:54" ht="30" thickTop="1" thickBot="1">
      <c r="A47" s="1"/>
      <c r="B47" s="582" t="s">
        <v>340</v>
      </c>
      <c r="C47" s="582"/>
      <c r="D47" s="582"/>
      <c r="E47" s="582"/>
      <c r="F47" s="582"/>
      <c r="G47" s="255"/>
      <c r="H47" s="255"/>
      <c r="I47" s="255"/>
      <c r="J47" s="255"/>
      <c r="K47" s="548">
        <f>IF(INT(K45)=K45,K45/1.001,"Err")</f>
        <v>23.976023976023978</v>
      </c>
      <c r="L47" s="546"/>
      <c r="M47" s="547"/>
      <c r="P47" s="127"/>
      <c r="Q47" s="223"/>
      <c r="R47" s="143"/>
      <c r="S47" s="48"/>
      <c r="T47" s="67"/>
      <c r="U47" s="47"/>
      <c r="W47" s="22"/>
      <c r="AE47" s="143"/>
      <c r="BB47" s="44"/>
    </row>
    <row r="48" spans="1:54" ht="30" thickTop="1" thickBot="1">
      <c r="A48" s="1"/>
      <c r="B48" s="544" t="s">
        <v>330</v>
      </c>
      <c r="K48" s="548">
        <f>IF(AND(RED_BLANK_RQD="Y",RED_BLANK_VER=3),$J$83*$F$63/$K$47,"Err")</f>
        <v>25023.755133928575</v>
      </c>
      <c r="M48" s="8"/>
      <c r="P48" s="127"/>
      <c r="Q48" s="224"/>
      <c r="R48" s="143"/>
      <c r="S48" s="48">
        <f>S45+1</f>
        <v>10</v>
      </c>
      <c r="T48" s="252" t="s">
        <v>286</v>
      </c>
      <c r="U48" s="47"/>
      <c r="W48" s="22"/>
      <c r="AE48" s="143"/>
      <c r="BB48" s="44"/>
    </row>
    <row r="49" spans="1:58" ht="30" thickTop="1" thickBot="1">
      <c r="A49" s="1"/>
      <c r="B49" s="544" t="s">
        <v>329</v>
      </c>
      <c r="C49" s="255"/>
      <c r="D49" s="255"/>
      <c r="E49" s="255"/>
      <c r="F49" s="255"/>
      <c r="G49" s="255"/>
      <c r="H49" s="255"/>
      <c r="I49" s="255"/>
      <c r="J49" s="255"/>
      <c r="K49" s="549">
        <f>IF(AND(RED_BLANK_RQD="Y",RED_BLANK_VER=3),_xlfn.CEILING.MATH($J$83*$F$63/$K$47,1),"Err")</f>
        <v>25024</v>
      </c>
      <c r="L49" s="255"/>
      <c r="M49" s="8"/>
      <c r="P49" s="127"/>
      <c r="Q49" s="223"/>
      <c r="R49" s="143"/>
      <c r="S49" s="48"/>
      <c r="T49" s="134" t="s">
        <v>357</v>
      </c>
      <c r="U49" s="47">
        <f>Q43</f>
        <v>6</v>
      </c>
      <c r="W49" s="22"/>
      <c r="AE49" s="143"/>
      <c r="BB49" s="44"/>
    </row>
    <row r="50" spans="1:58" ht="30" thickTop="1" thickBot="1">
      <c r="A50" s="1"/>
      <c r="B50" s="544" t="s">
        <v>328</v>
      </c>
      <c r="C50" s="255"/>
      <c r="D50" s="255"/>
      <c r="E50" s="255"/>
      <c r="F50" s="255"/>
      <c r="G50" s="255"/>
      <c r="H50" s="255"/>
      <c r="I50" s="255"/>
      <c r="J50" s="255"/>
      <c r="K50" s="548">
        <f>IF(AND(RED_BLANK_RQD="Y",RED_BLANK_VER=3),1000000/($F$72*$K$48),"Err")</f>
        <v>23.976023976023974</v>
      </c>
      <c r="L50" s="255"/>
      <c r="M50" s="8"/>
      <c r="P50" s="127"/>
      <c r="Q50" s="223"/>
      <c r="R50" s="143"/>
      <c r="S50" s="48"/>
      <c r="T50" s="134" t="s">
        <v>351</v>
      </c>
      <c r="U50" s="47">
        <f>IF(AND((RED_BLANK_RQD="y"),(RED_BLANK_VER=3),EARLY_VSYNC_RQD ="y"),IF(ACT_VBI_LINES - V_BACK_PORCH_EST - V_SYNC_RND &lt; RB_V_FPORCH, ACT_VBI_LINES - V_SYNC_RND - RB_V_FPORCH, V_BACK_PORCH_EST), V_BACK_PORCH_EST)</f>
        <v>6</v>
      </c>
      <c r="W50" s="22"/>
      <c r="AE50" s="143"/>
      <c r="BB50" s="44"/>
    </row>
    <row r="51" spans="1:58" ht="25" customHeight="1" thickTop="1" thickBot="1">
      <c r="A51" s="1"/>
      <c r="B51" s="544" t="s">
        <v>331</v>
      </c>
      <c r="C51" s="255"/>
      <c r="D51" s="255"/>
      <c r="E51" s="255"/>
      <c r="F51" s="255"/>
      <c r="G51" s="255"/>
      <c r="H51" s="255"/>
      <c r="I51" s="255"/>
      <c r="J51" s="255"/>
      <c r="K51" s="548">
        <f>IF(AND(RED_BLANK_RQD="Y",RED_BLANK_VER=3),1000000*(1-300/1000000)/($F$72*$K$49),"Err")</f>
        <v>23.968596627849511</v>
      </c>
      <c r="L51" s="255"/>
      <c r="M51" s="8"/>
      <c r="R51" s="143"/>
      <c r="S51" s="48"/>
      <c r="T51" s="67"/>
      <c r="U51" s="47"/>
      <c r="AE51" s="143"/>
      <c r="BB51" s="44"/>
    </row>
    <row r="52" spans="1:58" ht="25" customHeight="1" thickTop="1" thickBot="1">
      <c r="A52" s="1"/>
      <c r="B52" s="544" t="s">
        <v>332</v>
      </c>
      <c r="C52" s="255"/>
      <c r="D52" s="255"/>
      <c r="E52" s="255"/>
      <c r="F52" s="255"/>
      <c r="G52" s="255"/>
      <c r="H52" s="255"/>
      <c r="I52" s="255"/>
      <c r="J52" s="255"/>
      <c r="K52" s="548">
        <f>IF(AND(RED_BLANK_RQD="Y",RED_BLANK_VER=3),(1+300/1000000)*$F$63,"Err")</f>
        <v>240.15612009089355</v>
      </c>
      <c r="M52" s="8"/>
      <c r="R52" s="143"/>
      <c r="S52" s="48">
        <f>S48+1</f>
        <v>11</v>
      </c>
      <c r="T52" s="252" t="s">
        <v>287</v>
      </c>
      <c r="U52" s="47"/>
      <c r="AE52" s="143"/>
      <c r="BB52" s="44"/>
    </row>
    <row r="53" spans="1:58" ht="25" customHeight="1" thickTop="1" thickBot="1">
      <c r="A53" s="62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63"/>
      <c r="R53" s="143"/>
      <c r="S53" s="48"/>
      <c r="T53" s="252" t="s">
        <v>288</v>
      </c>
      <c r="U53" s="47">
        <f>V_FRONT_PORCH</f>
        <v>325</v>
      </c>
      <c r="AE53" s="143"/>
      <c r="BB53" s="44"/>
    </row>
    <row r="54" spans="1:58" ht="25" customHeight="1" thickTop="1">
      <c r="B54" s="9"/>
      <c r="C54" s="64"/>
      <c r="K54" s="10"/>
      <c r="L54" s="65"/>
      <c r="R54" s="143"/>
      <c r="S54" s="48"/>
      <c r="U54" s="51"/>
      <c r="X54" s="228"/>
      <c r="Y54" s="230"/>
      <c r="AB54" s="228"/>
      <c r="AC54" s="228"/>
      <c r="AE54" s="143"/>
      <c r="BB54" s="44"/>
    </row>
    <row r="55" spans="1:58" ht="25" customHeight="1">
      <c r="A55" s="572" t="str">
        <f>"Format: " &amp; F60 &amp;" x " &amp; F61 &amp; " @ " &amp; IP_FREQ_RQD &amp; " Hz" &amp; IF(RED_BLANK_RQD="Y"," - Reduced Blanking","")</f>
        <v>Format: 3840 x 2160 @ 240 Hz - Reduced Blanking</v>
      </c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R55" s="143"/>
      <c r="S55" s="48">
        <f>S52+1</f>
        <v>12</v>
      </c>
      <c r="T55" s="44" t="s">
        <v>130</v>
      </c>
      <c r="U55" s="47"/>
      <c r="X55" s="228"/>
      <c r="Y55" s="228"/>
      <c r="AB55" s="229"/>
      <c r="AC55" s="229"/>
      <c r="AE55" s="143"/>
      <c r="BB55" s="44"/>
    </row>
    <row r="56" spans="1:58" ht="25" customHeight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R56" s="44"/>
      <c r="S56" s="48"/>
      <c r="T56" s="44" t="s">
        <v>15</v>
      </c>
      <c r="U56" s="47">
        <f>RB_H_BLANK+TOTAL_ACTIVE_PIXELS</f>
        <v>3920</v>
      </c>
      <c r="X56" s="228"/>
      <c r="Y56" s="228"/>
      <c r="Z56" s="228"/>
      <c r="AB56" s="229"/>
      <c r="AC56" s="229"/>
      <c r="AE56" s="143"/>
      <c r="BB56" s="44"/>
    </row>
    <row r="57" spans="1:58" ht="25" customHeight="1">
      <c r="A57" s="574" t="str">
        <f>"VESA CVT Name: " &amp; IF(D25="OK",TEXT(H_PIXELS_RND*V_LINES_RND/1000000,"0.00")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8.29M9-R</v>
      </c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R57" s="143"/>
      <c r="S57" s="48"/>
      <c r="T57" s="44"/>
      <c r="U57" s="47"/>
      <c r="V57" s="44"/>
      <c r="X57" s="228"/>
      <c r="Y57" s="228"/>
      <c r="AA57" s="22"/>
      <c r="AB57" s="229"/>
      <c r="AC57" s="228"/>
      <c r="AD57" s="228"/>
      <c r="AE57" s="143"/>
      <c r="BF57" s="44"/>
    </row>
    <row r="58" spans="1:58" ht="25" customHeight="1" thickBot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R58" s="143"/>
      <c r="S58" s="48">
        <f>S55+1</f>
        <v>13</v>
      </c>
      <c r="T58" s="203" t="s">
        <v>289</v>
      </c>
      <c r="U58" s="47"/>
      <c r="V58" s="44"/>
      <c r="X58" s="228"/>
      <c r="Y58" s="228"/>
      <c r="AA58" s="22"/>
      <c r="AB58" s="229"/>
      <c r="AC58" s="228"/>
      <c r="AD58" s="228"/>
      <c r="AE58" s="143"/>
      <c r="BF58" s="44"/>
    </row>
    <row r="59" spans="1:58" ht="25" customHeight="1" thickTop="1">
      <c r="A59" s="13"/>
      <c r="B59" s="14"/>
      <c r="C59" s="14"/>
      <c r="D59" s="14"/>
      <c r="E59" s="14"/>
      <c r="F59" s="14"/>
      <c r="G59" s="14"/>
      <c r="H59" s="144"/>
      <c r="I59" s="14"/>
      <c r="J59" s="17"/>
      <c r="K59" s="14"/>
      <c r="L59" s="14"/>
      <c r="M59" s="15"/>
      <c r="R59" s="143"/>
      <c r="S59" s="48"/>
      <c r="T59" s="203" t="s">
        <v>290</v>
      </c>
      <c r="U59" s="47">
        <f>H_BACK_PORCH</f>
        <v>40</v>
      </c>
      <c r="V59" s="44"/>
      <c r="X59" s="228"/>
      <c r="Y59" s="228"/>
      <c r="AA59" s="22"/>
      <c r="AB59" s="229"/>
      <c r="AC59" s="228"/>
      <c r="AD59" s="228"/>
      <c r="AE59" s="143"/>
      <c r="BF59" s="44"/>
    </row>
    <row r="60" spans="1:58" ht="25" customHeight="1">
      <c r="A60" s="68"/>
      <c r="B60" s="141" t="s">
        <v>2</v>
      </c>
      <c r="C60" s="70"/>
      <c r="D60" s="70"/>
      <c r="E60" s="70"/>
      <c r="F60" s="145">
        <f>H_PIXELS_RND</f>
        <v>3840</v>
      </c>
      <c r="G60" s="242" t="s">
        <v>3</v>
      </c>
      <c r="H60" s="146"/>
      <c r="J60" s="147"/>
      <c r="K60" s="113"/>
      <c r="L60" s="70"/>
      <c r="M60" s="72"/>
      <c r="R60" s="143"/>
      <c r="S60" s="48"/>
      <c r="U60" s="51"/>
      <c r="X60" s="228"/>
      <c r="Y60" s="228"/>
      <c r="AA60" s="22"/>
      <c r="AB60" s="229"/>
      <c r="AC60" s="228"/>
      <c r="AD60" s="228"/>
      <c r="AE60" s="143"/>
      <c r="BF60" s="44"/>
    </row>
    <row r="61" spans="1:58" ht="25" customHeight="1">
      <c r="A61" s="68"/>
      <c r="B61" s="141" t="s">
        <v>4</v>
      </c>
      <c r="C61" s="70"/>
      <c r="D61" s="148"/>
      <c r="E61" s="148"/>
      <c r="F61" s="145">
        <f>V_LINES_RND</f>
        <v>2160</v>
      </c>
      <c r="G61" s="242" t="s">
        <v>5</v>
      </c>
      <c r="H61" s="146"/>
      <c r="I61" s="148"/>
      <c r="J61" s="149"/>
      <c r="K61" s="242"/>
      <c r="L61" s="70"/>
      <c r="M61" s="72"/>
      <c r="R61" s="143"/>
      <c r="S61" s="48">
        <f>S58+1</f>
        <v>14</v>
      </c>
      <c r="T61" s="143" t="s">
        <v>118</v>
      </c>
      <c r="U61" s="47"/>
      <c r="X61" s="228"/>
      <c r="Y61" s="228"/>
      <c r="AA61" s="22"/>
      <c r="AB61" s="229"/>
      <c r="AC61" s="228"/>
      <c r="AD61" s="228"/>
      <c r="AE61" s="143"/>
      <c r="BF61" s="44"/>
    </row>
    <row r="62" spans="1:58" ht="25" customHeight="1">
      <c r="A62" s="68"/>
      <c r="B62" s="141" t="s">
        <v>6</v>
      </c>
      <c r="C62" s="70"/>
      <c r="D62" s="70"/>
      <c r="E62" s="70"/>
      <c r="F62" s="150">
        <f>ACT_H_FREQ</f>
        <v>599.97015306122466</v>
      </c>
      <c r="G62" s="242" t="s">
        <v>7</v>
      </c>
      <c r="H62" s="151"/>
      <c r="I62" s="70"/>
      <c r="J62" s="147"/>
      <c r="K62" s="113"/>
      <c r="L62" s="70"/>
      <c r="M62" s="72"/>
      <c r="R62" s="143"/>
      <c r="S62" s="48"/>
      <c r="T62" s="143" t="str">
        <f>"Rounded up to " &amp; CLOCK_STEP &amp; "MHz ="</f>
        <v>Rounded up to 0.001MHz =</v>
      </c>
      <c r="U62" s="47">
        <f>CLOCK_STEP*ROUNDUP(((V_FIELD_RATE_RQD*RB_TOTAL_V_LINES*RB_H_TOTAL/1000000)/CLOCK_STEP),CLOCK_STEP)</f>
        <v>2351.8830000000003</v>
      </c>
      <c r="X62" s="228"/>
      <c r="Y62" s="228"/>
      <c r="AA62" s="22"/>
      <c r="AB62" s="229"/>
      <c r="AC62" s="228"/>
      <c r="AD62" s="228"/>
      <c r="AE62" s="143"/>
      <c r="BF62" s="44"/>
    </row>
    <row r="63" spans="1:58" ht="25" customHeight="1">
      <c r="A63" s="68"/>
      <c r="B63" s="141" t="s">
        <v>51</v>
      </c>
      <c r="C63" s="70"/>
      <c r="D63" s="148"/>
      <c r="E63" s="148"/>
      <c r="F63" s="150">
        <f>ACT_FRAME_RATE</f>
        <v>240.08409486243482</v>
      </c>
      <c r="G63" s="242" t="s">
        <v>9</v>
      </c>
      <c r="H63" s="151"/>
      <c r="I63" s="148"/>
      <c r="J63" s="152"/>
      <c r="K63" s="70"/>
      <c r="L63" s="70"/>
      <c r="M63" s="72"/>
      <c r="R63" s="143"/>
      <c r="S63" s="48"/>
      <c r="T63" s="143" t="str">
        <f>"Rounded down to " &amp; CLOCK_STEP &amp; "MHz ="</f>
        <v>Rounded down to 0.001MHz =</v>
      </c>
      <c r="U63" s="47">
        <f>CLOCK_STEP*ROUNDDOWN(((V_FIELD_RATE_RQD*RB_H_TOTAL*RB_TOTAL_V_LINES/1000000)/CLOCK_STEP)*IF(AND((RED_BLANK_RQD="y"),(RED_BLANK_VER=2),(VIDEO_OPT="y")),1000/1001,1),CLOCK_STEP)</f>
        <v>2351.8820000000001</v>
      </c>
      <c r="X63" s="228"/>
      <c r="Y63" s="228"/>
      <c r="AA63" s="22"/>
      <c r="AB63" s="229"/>
      <c r="AC63" s="228"/>
      <c r="AD63" s="228"/>
      <c r="AE63" s="143"/>
      <c r="BF63" s="44"/>
    </row>
    <row r="64" spans="1:58" ht="25" customHeight="1">
      <c r="A64" s="68"/>
      <c r="B64" s="141" t="s">
        <v>11</v>
      </c>
      <c r="C64" s="70"/>
      <c r="D64" s="70"/>
      <c r="E64" s="70"/>
      <c r="F64" s="150">
        <f>ACT_PIXEL_FREQ</f>
        <v>2351.8830000000003</v>
      </c>
      <c r="G64" s="242" t="s">
        <v>12</v>
      </c>
      <c r="H64" s="151"/>
      <c r="I64" s="70"/>
      <c r="J64" s="145">
        <v>1</v>
      </c>
      <c r="K64" s="70" t="s">
        <v>3</v>
      </c>
      <c r="L64" s="70"/>
      <c r="M64" s="72"/>
      <c r="R64" s="143"/>
      <c r="S64" s="48"/>
      <c r="T64" s="143" t="s">
        <v>119</v>
      </c>
      <c r="U64" s="133">
        <f>V_FIELD_RATE_RQD*RB_TOTAL_V_LINES*RB_H_TOTAL/1000000* IF(AND((RED_BLANK_RQD="y"),(RED_BLANK_VER=2),(VIDEO_OPT="y")),1000/1001,1)</f>
        <v>2351.8820707199998</v>
      </c>
      <c r="X64" s="228"/>
      <c r="Y64" s="228"/>
      <c r="AB64" s="229"/>
      <c r="AC64" s="228"/>
      <c r="AD64" s="228"/>
      <c r="AE64" s="143"/>
      <c r="BF64" s="44"/>
    </row>
    <row r="65" spans="1:58" ht="25" customHeight="1">
      <c r="A65" s="68"/>
      <c r="B65" s="141" t="s">
        <v>13</v>
      </c>
      <c r="C65" s="70"/>
      <c r="D65" s="70"/>
      <c r="E65" s="70"/>
      <c r="F65" s="150">
        <f>CELL_GRAN_RND*1000/ACT_PIXEL_FREQ</f>
        <v>3.4015297529681532</v>
      </c>
      <c r="G65" s="70" t="s">
        <v>14</v>
      </c>
      <c r="H65" s="151"/>
      <c r="I65" s="70"/>
      <c r="J65" s="145">
        <f>CELL_GRAN_RND</f>
        <v>8</v>
      </c>
      <c r="K65" s="70" t="s">
        <v>3</v>
      </c>
      <c r="L65" s="70"/>
      <c r="M65" s="72"/>
      <c r="R65" s="143"/>
      <c r="S65" s="48"/>
      <c r="T65" s="134" t="s">
        <v>181</v>
      </c>
      <c r="U65" s="76">
        <f>IF(RED_BLANK_VER=3,U62,U63)</f>
        <v>2351.8830000000003</v>
      </c>
      <c r="X65" s="228"/>
      <c r="Y65" s="228"/>
      <c r="AB65" s="229"/>
      <c r="AC65" s="228"/>
      <c r="AD65" s="228"/>
      <c r="AE65" s="143"/>
      <c r="BF65" s="44"/>
    </row>
    <row r="66" spans="1:58" ht="25" customHeight="1">
      <c r="A66" s="68"/>
      <c r="B66" s="141" t="s">
        <v>16</v>
      </c>
      <c r="C66" s="70"/>
      <c r="D66" s="70"/>
      <c r="E66" s="70"/>
      <c r="F66" s="150" t="str">
        <f>"NON-INT"</f>
        <v>NON-INT</v>
      </c>
      <c r="G66" s="242"/>
      <c r="H66" s="153"/>
      <c r="I66" s="71"/>
      <c r="J66" s="154"/>
      <c r="K66" s="71"/>
      <c r="L66" s="70"/>
      <c r="M66" s="72"/>
      <c r="R66" s="143"/>
      <c r="S66" s="48"/>
      <c r="T66" s="134"/>
      <c r="U66" s="76"/>
      <c r="X66" s="228"/>
      <c r="Y66" s="228"/>
      <c r="AB66" s="228"/>
      <c r="AC66" s="228"/>
      <c r="AD66" s="228"/>
      <c r="AE66" s="143"/>
      <c r="BF66" s="44"/>
    </row>
    <row r="67" spans="1:58" ht="25" customHeight="1">
      <c r="A67" s="68"/>
      <c r="B67" s="141" t="s">
        <v>72</v>
      </c>
      <c r="C67" s="70"/>
      <c r="D67" s="70"/>
      <c r="E67" s="70"/>
      <c r="F67" s="155" t="str">
        <f>IF(F60=CELL_GRAN_RND*INT((F61*4/3)/CELL_GRAN_RND),"4:3",
IF(F60=CELL_GRAN_RND*INT((F61*16/9)/CELL_GRAN_RND),"16:9",
IF(F60=CELL_GRAN_RND*INT((F61*16/10)/CELL_GRAN_RND),"16:10",
IF(F60=CELL_GRAN_RND*INT((F61*5/4)/CELL_GRAN_RND),"5:4",
IF(F60=CELL_GRAN_RND*INT((F61*15/9)/CELL_GRAN_RND),"15:9","Not Standard")))))</f>
        <v>16:9</v>
      </c>
      <c r="G67" s="156"/>
      <c r="H67" s="576" t="str">
        <f>IF(ASPECT_RATIO="Not Standard","WARNING! - Aspect Ratio = "&amp;H_PIXELS/GCD(H_PIXELS,V_LINES)&amp;":"&amp;V_LINES/GCD(H_PIXELS,V_LINES)&amp;".  Not a Standard Aspect Ratio","")</f>
        <v/>
      </c>
      <c r="I67" s="576"/>
      <c r="J67" s="576"/>
      <c r="K67" s="74"/>
      <c r="L67" s="70"/>
      <c r="M67" s="72"/>
      <c r="R67" s="143"/>
      <c r="S67" s="48">
        <f>S61+1</f>
        <v>15</v>
      </c>
      <c r="T67" s="143" t="s">
        <v>120</v>
      </c>
      <c r="U67" s="47"/>
      <c r="X67" s="228"/>
      <c r="Y67" s="228"/>
      <c r="AB67" s="228"/>
      <c r="AC67" s="228"/>
      <c r="AD67" s="228"/>
      <c r="AE67" s="143"/>
      <c r="BF67" s="44"/>
    </row>
    <row r="68" spans="1:58" ht="25" customHeight="1">
      <c r="A68" s="68"/>
      <c r="B68" s="141" t="s">
        <v>147</v>
      </c>
      <c r="C68" s="70"/>
      <c r="D68" s="70"/>
      <c r="E68" s="70"/>
      <c r="F68" s="155" t="str">
        <f>IF(RED_BLANK_RQD="y","POSITIVE","NEGATIVE")</f>
        <v>POSITIVE</v>
      </c>
      <c r="G68" s="156"/>
      <c r="H68" s="146"/>
      <c r="I68" s="74"/>
      <c r="J68" s="147"/>
      <c r="K68" s="74"/>
      <c r="L68" s="70"/>
      <c r="M68" s="72"/>
      <c r="R68" s="143"/>
      <c r="S68" s="48"/>
      <c r="T68" s="44" t="s">
        <v>121</v>
      </c>
      <c r="U68" s="47">
        <f>1000*RB_PIXEL_FREQ/RB_H_TOTAL</f>
        <v>599.97015306122466</v>
      </c>
      <c r="X68" s="228"/>
      <c r="Y68" s="228"/>
      <c r="AB68" s="228"/>
      <c r="AC68" s="230"/>
      <c r="AD68" s="228"/>
      <c r="AE68" s="143"/>
      <c r="BF68" s="44"/>
    </row>
    <row r="69" spans="1:58" ht="25" customHeight="1">
      <c r="A69" s="68"/>
      <c r="B69" s="141" t="s">
        <v>148</v>
      </c>
      <c r="C69" s="70"/>
      <c r="D69" s="70"/>
      <c r="E69" s="70"/>
      <c r="F69" s="155" t="str">
        <f>IF(RED_BLANK_RQD="y","NEGATIVE","POSITIVE")</f>
        <v>NEGATIVE</v>
      </c>
      <c r="G69" s="156"/>
      <c r="H69" s="146"/>
      <c r="I69" s="74"/>
      <c r="J69" s="147"/>
      <c r="K69" s="74"/>
      <c r="L69" s="70"/>
      <c r="M69" s="72"/>
      <c r="R69" s="143"/>
      <c r="S69" s="48"/>
      <c r="U69" s="51"/>
      <c r="V69" s="44"/>
      <c r="X69" s="228"/>
      <c r="Y69" s="228"/>
      <c r="AB69" s="228"/>
      <c r="AC69" s="230"/>
      <c r="AD69" s="228"/>
      <c r="AE69" s="143"/>
      <c r="BF69" s="44"/>
    </row>
    <row r="70" spans="1:58" ht="25" customHeight="1">
      <c r="A70" s="68"/>
      <c r="B70" s="141" t="s">
        <v>240</v>
      </c>
      <c r="C70" s="78"/>
      <c r="D70" s="78"/>
      <c r="E70" s="78"/>
      <c r="F70" s="157"/>
      <c r="G70" s="158"/>
      <c r="H70" s="159"/>
      <c r="I70" s="78"/>
      <c r="J70" s="159"/>
      <c r="K70" s="78"/>
      <c r="L70" s="78"/>
      <c r="M70" s="79"/>
      <c r="R70" s="143"/>
      <c r="S70" s="48">
        <f>S67+1</f>
        <v>16</v>
      </c>
      <c r="T70" s="44" t="s">
        <v>123</v>
      </c>
      <c r="U70" s="47"/>
      <c r="V70" s="44"/>
      <c r="X70" s="228"/>
      <c r="Y70" s="228"/>
      <c r="AB70" s="228"/>
      <c r="AC70" s="228"/>
      <c r="AD70" s="228"/>
      <c r="AE70" s="143"/>
      <c r="BF70" s="44"/>
    </row>
    <row r="71" spans="1:58" ht="25" customHeight="1">
      <c r="A71" s="80"/>
      <c r="B71" s="160"/>
      <c r="C71" s="70"/>
      <c r="D71" s="70"/>
      <c r="E71" s="70"/>
      <c r="F71" s="161"/>
      <c r="G71" s="242"/>
      <c r="H71" s="151"/>
      <c r="I71" s="70"/>
      <c r="J71" s="147"/>
      <c r="K71" s="70"/>
      <c r="L71" s="70"/>
      <c r="M71" s="72"/>
      <c r="R71" s="143"/>
      <c r="S71" s="48"/>
      <c r="T71" s="44" t="s">
        <v>134</v>
      </c>
      <c r="U71" s="47">
        <f>1000*RB_H_FREQ/RB_TOTAL_V_LINES</f>
        <v>240.08409486243482</v>
      </c>
      <c r="X71" s="228"/>
      <c r="Y71" s="228"/>
      <c r="AB71" s="228"/>
      <c r="AC71" s="228"/>
      <c r="AD71" s="228"/>
      <c r="AE71" s="143"/>
      <c r="BF71" s="44"/>
    </row>
    <row r="72" spans="1:58" ht="25" customHeight="1" thickBot="1">
      <c r="A72" s="68"/>
      <c r="B72" s="141" t="s">
        <v>41</v>
      </c>
      <c r="C72" s="70"/>
      <c r="D72" s="70"/>
      <c r="E72" s="70"/>
      <c r="F72" s="161">
        <f>TOTAL_PIXELS/ACT_PIXEL_FREQ</f>
        <v>1.6667495789543951</v>
      </c>
      <c r="G72" s="234" t="s">
        <v>19</v>
      </c>
      <c r="H72" s="145">
        <f>TOTAL_PIXELS/CELL_GRAN_RND</f>
        <v>490</v>
      </c>
      <c r="I72" s="70" t="s">
        <v>20</v>
      </c>
      <c r="J72" s="152">
        <f>TOTAL_PIXELS</f>
        <v>3920</v>
      </c>
      <c r="K72" s="87" t="s">
        <v>3</v>
      </c>
      <c r="L72" s="162"/>
      <c r="M72" s="72"/>
      <c r="R72" s="143"/>
      <c r="S72" s="49"/>
      <c r="T72" s="240"/>
      <c r="U72" s="81"/>
      <c r="V72" s="44"/>
      <c r="X72" s="228"/>
      <c r="Y72" s="228"/>
      <c r="AB72" s="228"/>
      <c r="AC72" s="228"/>
      <c r="AD72" s="228"/>
      <c r="AE72" s="143"/>
      <c r="BF72" s="44"/>
    </row>
    <row r="73" spans="1:58" ht="25" customHeight="1" thickBot="1">
      <c r="A73" s="68"/>
      <c r="B73" s="141" t="s">
        <v>42</v>
      </c>
      <c r="C73" s="70"/>
      <c r="D73" s="70"/>
      <c r="E73" s="70"/>
      <c r="F73" s="161">
        <f>H_PIXELS_RND/ACT_PIXEL_FREQ</f>
        <v>1.6327342814247134</v>
      </c>
      <c r="G73" s="234" t="s">
        <v>19</v>
      </c>
      <c r="H73" s="145">
        <f>H_PIXELS_RND/CELL_GRAN_RND</f>
        <v>480</v>
      </c>
      <c r="I73" s="70" t="s">
        <v>20</v>
      </c>
      <c r="J73" s="152">
        <f>H_PIXELS_RND</f>
        <v>3840</v>
      </c>
      <c r="K73" s="87" t="s">
        <v>3</v>
      </c>
      <c r="L73" s="162"/>
      <c r="M73" s="72"/>
      <c r="R73" s="143"/>
      <c r="S73" s="143"/>
      <c r="X73" s="228"/>
      <c r="Y73" s="228"/>
      <c r="AB73" s="228"/>
      <c r="AC73" s="228"/>
      <c r="AD73" s="228"/>
      <c r="AE73" s="143"/>
      <c r="BF73" s="44"/>
    </row>
    <row r="74" spans="1:58" ht="25" customHeight="1">
      <c r="A74" s="82"/>
      <c r="B74" s="163"/>
      <c r="C74" s="78"/>
      <c r="D74" s="78"/>
      <c r="E74" s="78"/>
      <c r="F74" s="157"/>
      <c r="G74" s="164"/>
      <c r="H74" s="165"/>
      <c r="I74" s="78"/>
      <c r="J74" s="166"/>
      <c r="K74" s="167"/>
      <c r="L74" s="168"/>
      <c r="M74" s="79"/>
      <c r="R74" s="143"/>
      <c r="S74" s="39" t="s">
        <v>54</v>
      </c>
      <c r="T74" s="42"/>
      <c r="U74" s="41"/>
      <c r="V74" s="44"/>
      <c r="X74" s="228"/>
      <c r="Y74" s="228"/>
      <c r="AB74" s="232"/>
      <c r="AC74" s="228"/>
      <c r="AD74" s="231"/>
      <c r="AE74" s="143"/>
      <c r="BF74" s="44"/>
    </row>
    <row r="75" spans="1:58" ht="25" customHeight="1">
      <c r="A75" s="80"/>
      <c r="B75" s="169"/>
      <c r="C75" s="83"/>
      <c r="D75" s="83"/>
      <c r="E75" s="83"/>
      <c r="F75" s="170"/>
      <c r="G75" s="171"/>
      <c r="H75" s="172"/>
      <c r="I75" s="83"/>
      <c r="J75" s="173"/>
      <c r="K75" s="174"/>
      <c r="L75" s="175"/>
      <c r="M75" s="84"/>
      <c r="R75" s="143"/>
      <c r="S75" s="226"/>
      <c r="T75" s="228" t="s">
        <v>109</v>
      </c>
      <c r="U75" s="559">
        <f>U29</f>
        <v>460</v>
      </c>
      <c r="V75" s="44"/>
      <c r="X75" s="228"/>
      <c r="Y75" s="228"/>
      <c r="AB75" s="232"/>
      <c r="AC75" s="228"/>
      <c r="AD75" s="231"/>
      <c r="AE75" s="143"/>
      <c r="BF75" s="44"/>
    </row>
    <row r="76" spans="1:58" ht="25" customHeight="1">
      <c r="A76" s="68"/>
      <c r="B76" s="141" t="s">
        <v>43</v>
      </c>
      <c r="C76" s="70"/>
      <c r="D76" s="70"/>
      <c r="E76" s="70"/>
      <c r="F76" s="161">
        <f>H_BLANK/ACT_PIXEL_FREQ</f>
        <v>3.4015297529681535E-2</v>
      </c>
      <c r="G76" s="234" t="s">
        <v>19</v>
      </c>
      <c r="H76" s="145">
        <f>H_BLANK/CELL_GRAN_RND</f>
        <v>10</v>
      </c>
      <c r="I76" s="70" t="s">
        <v>20</v>
      </c>
      <c r="J76" s="152">
        <f>H_BLANK</f>
        <v>80</v>
      </c>
      <c r="K76" s="87" t="s">
        <v>3</v>
      </c>
      <c r="L76" s="162"/>
      <c r="M76" s="72"/>
      <c r="R76" s="143"/>
      <c r="S76" s="226"/>
      <c r="T76" s="134" t="s">
        <v>255</v>
      </c>
      <c r="U76" s="51">
        <f>RB_V3_ADD_V_BLANK</f>
        <v>105</v>
      </c>
      <c r="V76" s="44"/>
      <c r="X76" s="228"/>
      <c r="Y76" s="228"/>
      <c r="AB76" s="232"/>
      <c r="AC76" s="228"/>
      <c r="AD76" s="228"/>
      <c r="AE76" s="143"/>
      <c r="BF76" s="44"/>
    </row>
    <row r="77" spans="1:58" ht="24.75" customHeight="1">
      <c r="A77" s="68"/>
      <c r="B77" s="141" t="s">
        <v>21</v>
      </c>
      <c r="C77" s="70"/>
      <c r="D77" s="70"/>
      <c r="E77" s="70"/>
      <c r="F77" s="161">
        <f>H_BLANK/TOTAL_PIXELS*100</f>
        <v>2.0408163265306123</v>
      </c>
      <c r="G77" s="234" t="s">
        <v>18</v>
      </c>
      <c r="H77" s="152"/>
      <c r="I77" s="87"/>
      <c r="J77" s="147"/>
      <c r="K77" s="70"/>
      <c r="L77" s="70"/>
      <c r="M77" s="72"/>
      <c r="R77" s="143"/>
      <c r="S77" s="48"/>
      <c r="T77" s="228" t="s">
        <v>256</v>
      </c>
      <c r="U77" s="559">
        <f>U29 + RB_V3_ADD_V_BLANK</f>
        <v>565</v>
      </c>
      <c r="V77" s="44"/>
      <c r="X77" s="228"/>
      <c r="Y77" s="228"/>
      <c r="AB77" s="232"/>
      <c r="AC77" s="228"/>
      <c r="AD77" s="228"/>
      <c r="AE77" s="143"/>
      <c r="BF77" s="44"/>
    </row>
    <row r="78" spans="1:58" ht="25" customHeight="1">
      <c r="A78" s="68"/>
      <c r="B78" s="141" t="s">
        <v>24</v>
      </c>
      <c r="C78" s="70"/>
      <c r="D78" s="70"/>
      <c r="E78" s="70"/>
      <c r="F78" s="161">
        <f>H_FRONT_PORCH/ACT_PIXEL_FREQ</f>
        <v>3.401529752968153E-3</v>
      </c>
      <c r="G78" s="234" t="s">
        <v>19</v>
      </c>
      <c r="H78" s="145">
        <f>H_FRONT_PORCH/CELL_GRAN_RND</f>
        <v>1</v>
      </c>
      <c r="I78" s="70" t="s">
        <v>20</v>
      </c>
      <c r="J78" s="152">
        <f>H_FRONT_PORCH</f>
        <v>8</v>
      </c>
      <c r="K78" s="87" t="s">
        <v>3</v>
      </c>
      <c r="L78" s="87"/>
      <c r="M78" s="72"/>
      <c r="R78" s="143"/>
      <c r="S78" s="48"/>
      <c r="T78" s="44" t="s">
        <v>110</v>
      </c>
      <c r="U78" s="47">
        <f>K110</f>
        <v>32</v>
      </c>
      <c r="X78" s="228"/>
      <c r="Y78" s="228"/>
      <c r="AB78" s="232"/>
      <c r="AC78" s="228"/>
      <c r="AD78" s="228"/>
      <c r="AE78" s="143"/>
      <c r="BF78" s="44"/>
    </row>
    <row r="79" spans="1:58" ht="25" customHeight="1" thickBot="1">
      <c r="A79" s="68"/>
      <c r="B79" s="141" t="s">
        <v>45</v>
      </c>
      <c r="C79" s="70"/>
      <c r="D79" s="70"/>
      <c r="E79" s="70"/>
      <c r="F79" s="161">
        <f>H_SYNC_RND/ACT_PIXEL_FREQ</f>
        <v>1.3606119011872612E-2</v>
      </c>
      <c r="G79" s="234" t="s">
        <v>19</v>
      </c>
      <c r="H79" s="145">
        <f>H_SYNC_RND/CELL_GRAN_RND</f>
        <v>4</v>
      </c>
      <c r="I79" s="70" t="s">
        <v>20</v>
      </c>
      <c r="J79" s="152">
        <f>H_SYNC_RND</f>
        <v>32</v>
      </c>
      <c r="K79" s="87" t="s">
        <v>3</v>
      </c>
      <c r="L79" s="87"/>
      <c r="M79" s="72"/>
      <c r="R79" s="143"/>
      <c r="S79" s="49"/>
      <c r="T79" s="240" t="s">
        <v>111</v>
      </c>
      <c r="U79" s="50">
        <f>K105 + IF(AND((RED_BLANK_RQD="y"),(RED_BLANK_VER=3)), Additional_HBlank, 0)</f>
        <v>80</v>
      </c>
      <c r="X79" s="228"/>
      <c r="Y79" s="228"/>
      <c r="AB79" s="232"/>
      <c r="AC79" s="232"/>
      <c r="AD79" s="228"/>
      <c r="AE79" s="143"/>
      <c r="BF79" s="44"/>
    </row>
    <row r="80" spans="1:58" ht="25" customHeight="1">
      <c r="A80" s="68"/>
      <c r="B80" s="141" t="s">
        <v>25</v>
      </c>
      <c r="C80" s="70"/>
      <c r="D80" s="70"/>
      <c r="E80" s="70"/>
      <c r="F80" s="161">
        <f>H_BACK_PORCH/ACT_PIXEL_FREQ</f>
        <v>1.7007648764840767E-2</v>
      </c>
      <c r="G80" s="234" t="s">
        <v>19</v>
      </c>
      <c r="H80" s="145">
        <f>H_BACK_PORCH/CELL_GRAN_RND</f>
        <v>5</v>
      </c>
      <c r="I80" s="70" t="s">
        <v>20</v>
      </c>
      <c r="J80" s="152">
        <f>H_BACK_PORCH</f>
        <v>40</v>
      </c>
      <c r="K80" s="87" t="s">
        <v>3</v>
      </c>
      <c r="L80" s="87"/>
      <c r="M80" s="72"/>
      <c r="R80" s="143"/>
      <c r="X80" s="228"/>
      <c r="Y80" s="228"/>
      <c r="AB80" s="232"/>
      <c r="AC80" s="232"/>
      <c r="AD80" s="228"/>
      <c r="AE80" s="143"/>
      <c r="BF80" s="44"/>
    </row>
    <row r="81" spans="1:58" ht="25" customHeight="1">
      <c r="A81" s="82"/>
      <c r="B81" s="163"/>
      <c r="C81" s="78"/>
      <c r="D81" s="78"/>
      <c r="E81" s="78"/>
      <c r="F81" s="157"/>
      <c r="G81" s="164"/>
      <c r="H81" s="166"/>
      <c r="I81" s="167"/>
      <c r="J81" s="176"/>
      <c r="K81" s="78"/>
      <c r="L81" s="78"/>
      <c r="M81" s="79"/>
      <c r="P81" s="73"/>
      <c r="Q81" s="85"/>
      <c r="R81" s="143"/>
      <c r="V81" s="44"/>
      <c r="X81" s="228"/>
      <c r="Y81" s="228"/>
      <c r="AB81" s="232"/>
      <c r="AC81" s="233"/>
      <c r="AD81" s="232"/>
      <c r="AE81" s="143"/>
      <c r="BF81" s="44"/>
    </row>
    <row r="82" spans="1:58" ht="25" customHeight="1">
      <c r="A82" s="68"/>
      <c r="B82" s="141"/>
      <c r="C82" s="70"/>
      <c r="D82" s="70"/>
      <c r="E82" s="70"/>
      <c r="F82" s="177"/>
      <c r="G82" s="178"/>
      <c r="H82" s="179"/>
      <c r="I82" s="178"/>
      <c r="J82" s="177"/>
      <c r="K82" s="88"/>
      <c r="L82" s="180"/>
      <c r="M82" s="89"/>
      <c r="P82" s="73"/>
      <c r="Q82" s="85"/>
      <c r="R82" s="143"/>
      <c r="V82" s="44"/>
      <c r="X82" s="228"/>
      <c r="Y82" s="228"/>
      <c r="AB82" s="232"/>
      <c r="AC82" s="228"/>
      <c r="AD82" s="232"/>
      <c r="AE82" s="143"/>
    </row>
    <row r="83" spans="1:58" ht="25" customHeight="1">
      <c r="A83" s="68"/>
      <c r="B83" s="141" t="s">
        <v>46</v>
      </c>
      <c r="C83" s="70"/>
      <c r="D83" s="70"/>
      <c r="E83" s="70"/>
      <c r="F83" s="161">
        <f>TOTAL_V_LINES/ACT_H_FREQ</f>
        <v>4.1652071978070326</v>
      </c>
      <c r="G83" s="234" t="s">
        <v>27</v>
      </c>
      <c r="H83" s="181"/>
      <c r="I83" s="234"/>
      <c r="J83" s="182">
        <f>TOTAL_V_LINES</f>
        <v>2499</v>
      </c>
      <c r="K83" s="183" t="s">
        <v>5</v>
      </c>
      <c r="L83" s="182"/>
      <c r="M83" s="184"/>
      <c r="P83" s="73"/>
      <c r="Q83" s="85"/>
      <c r="R83" s="143"/>
      <c r="V83" s="44"/>
      <c r="X83" s="228"/>
      <c r="Y83" s="228"/>
      <c r="AB83" s="232"/>
      <c r="AC83" s="232"/>
      <c r="AD83" s="232"/>
      <c r="AE83" s="143"/>
    </row>
    <row r="84" spans="1:58" ht="25" customHeight="1">
      <c r="A84" s="68"/>
      <c r="B84" s="141" t="s">
        <v>47</v>
      </c>
      <c r="C84" s="70"/>
      <c r="D84" s="70"/>
      <c r="E84" s="70"/>
      <c r="F84" s="161">
        <f>V_LINES_RND/ACT_H_FREQ</f>
        <v>3.6001790905414928</v>
      </c>
      <c r="G84" s="234" t="s">
        <v>27</v>
      </c>
      <c r="H84" s="181"/>
      <c r="I84" s="234"/>
      <c r="J84" s="182">
        <f>V_LINES_RND</f>
        <v>2160</v>
      </c>
      <c r="K84" s="183" t="s">
        <v>5</v>
      </c>
      <c r="L84" s="182"/>
      <c r="M84" s="184"/>
      <c r="P84" s="73"/>
      <c r="Q84" s="85"/>
      <c r="R84" s="143"/>
      <c r="V84" s="44"/>
      <c r="AB84" s="228"/>
      <c r="AC84" s="232"/>
      <c r="AD84" s="232"/>
      <c r="AE84" s="143"/>
    </row>
    <row r="85" spans="1:58" ht="25" customHeight="1">
      <c r="A85" s="82"/>
      <c r="B85" s="163"/>
      <c r="C85" s="78"/>
      <c r="D85" s="78"/>
      <c r="E85" s="78"/>
      <c r="F85" s="157"/>
      <c r="G85" s="164"/>
      <c r="H85" s="185"/>
      <c r="I85" s="164"/>
      <c r="J85" s="186"/>
      <c r="K85" s="187"/>
      <c r="L85" s="186"/>
      <c r="M85" s="188"/>
      <c r="P85" s="73"/>
      <c r="Q85" s="85"/>
      <c r="R85" s="143"/>
      <c r="AB85" s="228"/>
      <c r="AC85" s="228"/>
      <c r="AD85" s="232"/>
      <c r="AE85" s="143"/>
    </row>
    <row r="86" spans="1:58" ht="25" customHeight="1">
      <c r="A86" s="80"/>
      <c r="B86" s="169"/>
      <c r="C86" s="83"/>
      <c r="D86" s="83"/>
      <c r="E86" s="83"/>
      <c r="F86" s="189"/>
      <c r="G86" s="190"/>
      <c r="H86" s="191"/>
      <c r="I86" s="190"/>
      <c r="J86" s="192"/>
      <c r="K86" s="91"/>
      <c r="L86" s="192"/>
      <c r="M86" s="92"/>
      <c r="P86" s="73"/>
      <c r="Q86" s="85"/>
      <c r="R86" s="143"/>
      <c r="S86" s="21"/>
      <c r="AB86" s="228"/>
      <c r="AC86" s="228"/>
      <c r="AD86" s="228"/>
      <c r="AE86" s="143"/>
    </row>
    <row r="87" spans="1:58" ht="25" customHeight="1">
      <c r="A87" s="68"/>
      <c r="B87" s="141" t="s">
        <v>48</v>
      </c>
      <c r="C87" s="70"/>
      <c r="D87" s="70"/>
      <c r="E87" s="70"/>
      <c r="F87" s="161">
        <f>V_BLANK/ACT_H_FREQ</f>
        <v>0.56502810726553987</v>
      </c>
      <c r="G87" s="234" t="s">
        <v>27</v>
      </c>
      <c r="H87" s="161"/>
      <c r="I87" s="234"/>
      <c r="J87" s="182">
        <f>V_BLANK</f>
        <v>339</v>
      </c>
      <c r="K87" s="183" t="s">
        <v>5</v>
      </c>
      <c r="L87" s="182"/>
      <c r="M87" s="184"/>
      <c r="P87" s="73"/>
      <c r="Q87" s="85"/>
      <c r="R87" s="143"/>
      <c r="S87" s="21"/>
      <c r="AB87" s="228"/>
      <c r="AC87" s="228"/>
      <c r="AD87" s="228"/>
      <c r="AE87" s="143"/>
    </row>
    <row r="88" spans="1:58" ht="25" customHeight="1">
      <c r="A88" s="68"/>
      <c r="B88" s="141" t="s">
        <v>29</v>
      </c>
      <c r="C88" s="70"/>
      <c r="D88" s="70"/>
      <c r="E88" s="70"/>
      <c r="F88" s="161">
        <f>1000*(V_FRONT_PORCH)/ACT_H_FREQ</f>
        <v>541.6936131601783</v>
      </c>
      <c r="G88" s="234" t="s">
        <v>19</v>
      </c>
      <c r="H88" s="181"/>
      <c r="I88" s="234"/>
      <c r="J88" s="182">
        <f>V_FRONT_PORCH</f>
        <v>325</v>
      </c>
      <c r="K88" s="183" t="s">
        <v>5</v>
      </c>
      <c r="L88" s="182"/>
      <c r="M88" s="184"/>
      <c r="P88" s="73"/>
      <c r="Q88" s="85"/>
      <c r="R88" s="143"/>
      <c r="S88" s="21"/>
      <c r="AB88" s="228"/>
      <c r="AC88" s="228"/>
      <c r="AD88" s="228"/>
      <c r="AE88" s="143"/>
    </row>
    <row r="89" spans="1:58" ht="25" customHeight="1">
      <c r="A89" s="68"/>
      <c r="B89" s="141" t="s">
        <v>49</v>
      </c>
      <c r="C89" s="70"/>
      <c r="D89" s="70"/>
      <c r="E89" s="70"/>
      <c r="F89" s="161">
        <f>1000*V_SYNC_RND/ACT_H_FREQ</f>
        <v>13.333996631635157</v>
      </c>
      <c r="G89" s="234" t="s">
        <v>19</v>
      </c>
      <c r="H89" s="161"/>
      <c r="I89" s="234"/>
      <c r="J89" s="182">
        <f>V_SYNC_RND</f>
        <v>8</v>
      </c>
      <c r="K89" s="183" t="s">
        <v>5</v>
      </c>
      <c r="L89" s="182"/>
      <c r="M89" s="184"/>
      <c r="P89" s="73"/>
      <c r="Q89" s="85"/>
      <c r="R89" s="143"/>
      <c r="S89" s="21"/>
      <c r="AB89" s="228"/>
      <c r="AC89" s="228"/>
      <c r="AD89" s="228"/>
      <c r="AE89" s="143"/>
    </row>
    <row r="90" spans="1:58" ht="25" customHeight="1">
      <c r="A90" s="68"/>
      <c r="B90" s="141" t="s">
        <v>30</v>
      </c>
      <c r="C90" s="70"/>
      <c r="D90" s="70"/>
      <c r="E90" s="70"/>
      <c r="F90" s="161">
        <f>1000*V_BACK_PORCH/ACT_H_FREQ</f>
        <v>10.000497473726369</v>
      </c>
      <c r="G90" s="234" t="s">
        <v>19</v>
      </c>
      <c r="H90" s="181"/>
      <c r="I90" s="234"/>
      <c r="J90" s="182">
        <f>V_BACK_PORCH</f>
        <v>6</v>
      </c>
      <c r="K90" s="183" t="s">
        <v>5</v>
      </c>
      <c r="L90" s="182"/>
      <c r="M90" s="184"/>
      <c r="P90" s="73"/>
      <c r="Q90" s="85"/>
      <c r="R90" s="143"/>
      <c r="S90" s="21"/>
      <c r="AB90" s="228"/>
      <c r="AC90" s="228"/>
      <c r="AD90" s="228"/>
      <c r="AE90" s="143"/>
    </row>
    <row r="91" spans="1:58" ht="25" customHeight="1" thickBot="1">
      <c r="A91" s="193"/>
      <c r="B91" s="194"/>
      <c r="C91" s="93" t="str">
        <f>IF(B70="","","NOTE: ANY RESULT IN RED PARENTHESIS INDICATES AN ERROR: SOLUTION NOT POSSIBLE WITH GIVEN INPUTS REQUIREMENTS")</f>
        <v>NOTE: ANY RESULT IN RED PARENTHESIS INDICATES AN ERROR: SOLUTION NOT POSSIBLE WITH GIVEN INPUTS REQUIREMENTS</v>
      </c>
      <c r="D91" s="94"/>
      <c r="E91" s="94"/>
      <c r="F91" s="195"/>
      <c r="G91" s="196"/>
      <c r="H91" s="94"/>
      <c r="I91" s="94"/>
      <c r="J91" s="197"/>
      <c r="K91" s="94"/>
      <c r="L91" s="94"/>
      <c r="M91" s="95"/>
      <c r="P91" s="73"/>
      <c r="Q91" s="85"/>
      <c r="R91" s="143"/>
      <c r="S91" s="21"/>
      <c r="AB91" s="228"/>
      <c r="AC91" s="228"/>
      <c r="AD91" s="228"/>
      <c r="AE91" s="143"/>
    </row>
    <row r="92" spans="1:58" ht="25" customHeight="1" thickTop="1">
      <c r="A92" s="31"/>
      <c r="B92" s="96"/>
      <c r="F92" s="16"/>
      <c r="G92" s="97"/>
      <c r="H92" s="98"/>
      <c r="I92" s="98"/>
      <c r="J92" s="99"/>
      <c r="K92" s="25"/>
      <c r="L92" s="25"/>
      <c r="M92" s="25"/>
      <c r="P92" s="73"/>
      <c r="Q92" s="85"/>
      <c r="R92" s="143"/>
      <c r="S92" s="21"/>
      <c r="AB92" s="228"/>
      <c r="AC92" s="228"/>
      <c r="AD92" s="228"/>
      <c r="AE92" s="143"/>
    </row>
    <row r="93" spans="1:58" ht="25" customHeight="1" thickBot="1">
      <c r="A93" s="31"/>
      <c r="G93" s="44"/>
      <c r="P93" s="73"/>
      <c r="Q93" s="85"/>
      <c r="R93" s="143"/>
      <c r="S93" s="21"/>
      <c r="AD93" s="228"/>
      <c r="AE93" s="143"/>
    </row>
    <row r="94" spans="1:58" ht="25" customHeight="1" thickTop="1">
      <c r="A94" s="25"/>
      <c r="B94" s="101"/>
      <c r="C94" s="35"/>
      <c r="D94" s="35"/>
      <c r="E94" s="35"/>
      <c r="F94" s="102"/>
      <c r="G94" s="35"/>
      <c r="H94" s="35"/>
      <c r="I94" s="35"/>
      <c r="J94" s="103"/>
      <c r="K94" s="103"/>
      <c r="L94" s="35"/>
      <c r="M94" s="104"/>
      <c r="P94" s="73"/>
      <c r="Q94" s="85"/>
      <c r="R94" s="143"/>
      <c r="S94" s="21"/>
      <c r="AD94" s="228"/>
      <c r="AE94" s="143"/>
    </row>
    <row r="95" spans="1:58" ht="25" customHeight="1">
      <c r="A95" s="25"/>
      <c r="B95" s="204" t="s">
        <v>249</v>
      </c>
      <c r="C95" s="23"/>
      <c r="D95" s="23"/>
      <c r="E95" s="23"/>
      <c r="F95" s="220"/>
      <c r="G95" s="23"/>
      <c r="H95" s="23"/>
      <c r="I95" s="23"/>
      <c r="J95" s="23"/>
      <c r="K95" s="23"/>
      <c r="L95" s="23"/>
      <c r="M95" s="105"/>
      <c r="R95" s="143"/>
      <c r="S95" s="21"/>
      <c r="AE95" s="143"/>
    </row>
    <row r="96" spans="1:58" ht="25" customHeight="1">
      <c r="A96" s="25"/>
      <c r="B96" s="106"/>
      <c r="C96" s="25"/>
      <c r="D96" s="25"/>
      <c r="E96" s="25"/>
      <c r="F96" s="107"/>
      <c r="G96" s="25"/>
      <c r="H96" s="25"/>
      <c r="I96" s="25"/>
      <c r="J96" s="108"/>
      <c r="K96" s="108"/>
      <c r="L96" s="25"/>
      <c r="M96" s="109"/>
      <c r="R96" s="44"/>
      <c r="S96" s="21"/>
      <c r="AE96" s="143"/>
    </row>
    <row r="97" spans="1:31" ht="25" customHeight="1">
      <c r="A97" s="25"/>
      <c r="B97" s="205" t="s">
        <v>74</v>
      </c>
      <c r="C97" s="25"/>
      <c r="D97" s="25"/>
      <c r="E97" s="25"/>
      <c r="F97" s="107"/>
      <c r="G97" s="25"/>
      <c r="H97" s="25"/>
      <c r="I97" s="25"/>
      <c r="J97" s="108"/>
      <c r="K97" s="108"/>
      <c r="L97" s="25"/>
      <c r="M97" s="109"/>
      <c r="R97" s="44"/>
      <c r="S97" s="21"/>
      <c r="AE97" s="143"/>
    </row>
    <row r="98" spans="1:31" ht="25" customHeight="1" thickBot="1">
      <c r="A98" s="25"/>
      <c r="B98" s="110"/>
      <c r="C98" s="25"/>
      <c r="D98" s="25"/>
      <c r="E98" s="25"/>
      <c r="F98" s="25"/>
      <c r="G98" s="25"/>
      <c r="H98" s="25"/>
      <c r="I98" s="25"/>
      <c r="J98" s="108"/>
      <c r="K98" s="111"/>
      <c r="L98" s="111"/>
      <c r="M98" s="539" t="str">
        <f>_xlfn.TEXTJOIN(" , ",TRUE,M99:M131)</f>
        <v/>
      </c>
      <c r="O98" s="143"/>
      <c r="P98" s="143"/>
      <c r="Q98" s="143"/>
      <c r="R98" s="44"/>
      <c r="S98" s="21"/>
      <c r="AE98" s="143"/>
    </row>
    <row r="99" spans="1:31" ht="25" customHeight="1" thickTop="1" thickBot="1">
      <c r="A99" s="25"/>
      <c r="B99" s="110"/>
      <c r="C99" s="25"/>
      <c r="D99" s="567" t="s">
        <v>213</v>
      </c>
      <c r="E99" s="567"/>
      <c r="F99" s="567"/>
      <c r="G99" s="567"/>
      <c r="H99" s="567"/>
      <c r="I99" s="567"/>
      <c r="J99" s="218" t="s">
        <v>211</v>
      </c>
      <c r="K99" s="202">
        <f>IF(AND((RED_BLANK_RQD="y"),(RED_BLANK_VER=2)),K101,K100)</f>
        <v>8</v>
      </c>
      <c r="L99" s="537" t="s">
        <v>186</v>
      </c>
      <c r="M99" s="538" t="str">
        <f>IF(AND(K99&lt;&gt;8,K99&lt;&gt;1),"WARNING: Required CELL_GRAN value is 8 or 1","")</f>
        <v/>
      </c>
      <c r="P99" s="143"/>
      <c r="Q99" s="143"/>
      <c r="R99" s="44"/>
      <c r="S99" s="21"/>
      <c r="AE99" s="143"/>
    </row>
    <row r="100" spans="1:31" ht="25" customHeight="1" thickTop="1" thickBot="1">
      <c r="A100" s="25"/>
      <c r="B100" s="110"/>
      <c r="C100" s="25"/>
      <c r="D100" s="577" t="s">
        <v>280</v>
      </c>
      <c r="E100" s="577"/>
      <c r="F100" s="577"/>
      <c r="G100" s="577"/>
      <c r="H100" s="577"/>
      <c r="I100" s="577"/>
      <c r="J100" s="72" t="s">
        <v>195</v>
      </c>
      <c r="K100" s="202">
        <v>8</v>
      </c>
      <c r="L100" s="537"/>
      <c r="M100" s="538" t="str">
        <f>IF(K100&lt;&gt;8,"WARNING: Required CELL_GRAN value is 8","")</f>
        <v/>
      </c>
      <c r="P100" s="143"/>
      <c r="Q100" s="143"/>
      <c r="R100" s="44"/>
      <c r="S100" s="21"/>
      <c r="AE100" s="143"/>
    </row>
    <row r="101" spans="1:31" ht="22" thickTop="1" thickBot="1">
      <c r="A101" s="25"/>
      <c r="B101" s="110"/>
      <c r="C101" s="25"/>
      <c r="D101" s="577" t="s">
        <v>196</v>
      </c>
      <c r="E101" s="577"/>
      <c r="F101" s="577"/>
      <c r="G101" s="577"/>
      <c r="H101" s="577"/>
      <c r="I101" s="577"/>
      <c r="J101" s="72" t="s">
        <v>197</v>
      </c>
      <c r="K101" s="202">
        <v>1</v>
      </c>
      <c r="L101" s="537"/>
      <c r="M101" s="538" t="str">
        <f>IF(K101&lt;&gt;1,"WARNING: Required CELL GRAN value is 1","")</f>
        <v/>
      </c>
      <c r="P101" s="143"/>
      <c r="Q101" s="143"/>
      <c r="R101" s="44"/>
      <c r="S101" s="21"/>
      <c r="AE101" s="143"/>
    </row>
    <row r="102" spans="1:31" ht="22" thickTop="1" thickBot="1">
      <c r="A102" s="25"/>
      <c r="B102" s="110"/>
      <c r="C102" s="25"/>
      <c r="D102" s="244"/>
      <c r="E102" s="244"/>
      <c r="F102" s="244"/>
      <c r="G102" s="244"/>
      <c r="H102" s="244"/>
      <c r="I102" s="244"/>
      <c r="J102" s="70"/>
      <c r="K102" s="254"/>
      <c r="L102" s="134"/>
      <c r="M102" s="539"/>
      <c r="N102" s="44"/>
      <c r="R102" s="44"/>
      <c r="S102" s="21"/>
      <c r="AE102" s="143"/>
    </row>
    <row r="103" spans="1:31" ht="25" customHeight="1" thickTop="1" thickBot="1">
      <c r="A103" s="25"/>
      <c r="B103" s="110"/>
      <c r="C103" s="25"/>
      <c r="D103" s="561" t="s">
        <v>190</v>
      </c>
      <c r="E103" s="561"/>
      <c r="F103" s="561"/>
      <c r="G103" s="561"/>
      <c r="H103" s="561"/>
      <c r="I103" s="561"/>
      <c r="J103" s="218" t="s">
        <v>282</v>
      </c>
      <c r="K103" s="202">
        <v>8</v>
      </c>
      <c r="L103" s="537" t="s">
        <v>187</v>
      </c>
      <c r="M103" s="538" t="str">
        <f>IF(K103&lt;&gt;8,"WARNING: Required V_SYNC value is 8","")</f>
        <v/>
      </c>
      <c r="N103" s="44"/>
      <c r="R103" s="44"/>
      <c r="S103" s="21"/>
      <c r="AE103" s="143"/>
    </row>
    <row r="104" spans="1:31" ht="25" customHeight="1" thickTop="1" thickBot="1">
      <c r="A104" s="25"/>
      <c r="B104" s="110"/>
      <c r="C104" s="25"/>
      <c r="D104" s="234"/>
      <c r="E104" s="234"/>
      <c r="F104" s="234"/>
      <c r="G104" s="234"/>
      <c r="H104" s="234"/>
      <c r="I104" s="234"/>
      <c r="J104" s="87"/>
      <c r="K104" s="245"/>
      <c r="L104" s="219"/>
      <c r="M104" s="539"/>
      <c r="N104" s="44"/>
      <c r="R104" s="44"/>
      <c r="S104" s="21"/>
      <c r="AE104" s="143"/>
    </row>
    <row r="105" spans="1:31" ht="22" thickTop="1" thickBot="1">
      <c r="A105" s="25"/>
      <c r="B105" s="110"/>
      <c r="C105" s="25"/>
      <c r="D105" s="561" t="s">
        <v>168</v>
      </c>
      <c r="E105" s="561"/>
      <c r="F105" s="561"/>
      <c r="G105" s="561"/>
      <c r="H105" s="561"/>
      <c r="I105" s="561"/>
      <c r="J105" s="218" t="s">
        <v>211</v>
      </c>
      <c r="K105" s="199">
        <f>K106</f>
        <v>80</v>
      </c>
      <c r="L105" s="537" t="s">
        <v>354</v>
      </c>
      <c r="M105" s="538" t="str">
        <f>IF(K105&lt;&gt;80,"WARNING: Required minimum HBLANK value is 80","")</f>
        <v/>
      </c>
      <c r="N105" s="44"/>
      <c r="R105" s="44"/>
      <c r="S105" s="21"/>
      <c r="AE105" s="143"/>
    </row>
    <row r="106" spans="1:31" ht="25" customHeight="1" thickTop="1" thickBot="1">
      <c r="A106" s="25"/>
      <c r="B106" s="110"/>
      <c r="C106" s="25"/>
      <c r="D106" s="562" t="s">
        <v>278</v>
      </c>
      <c r="E106" s="562"/>
      <c r="F106" s="562"/>
      <c r="G106" s="562"/>
      <c r="H106" s="562"/>
      <c r="I106" s="562"/>
      <c r="J106" s="217" t="s">
        <v>215</v>
      </c>
      <c r="K106" s="246">
        <v>80</v>
      </c>
      <c r="L106" s="149"/>
      <c r="M106" s="539" t="str">
        <f>IF(K106&lt;&gt;80,"WARNING: Required minimum HBLANK value is 80","")</f>
        <v/>
      </c>
      <c r="N106" s="44"/>
      <c r="R106" s="44"/>
      <c r="S106" s="21"/>
      <c r="AE106" s="143"/>
    </row>
    <row r="107" spans="1:31" ht="25" customHeight="1" thickTop="1">
      <c r="A107" s="25"/>
      <c r="B107" s="110"/>
      <c r="C107" s="25"/>
      <c r="D107" s="562"/>
      <c r="E107" s="562"/>
      <c r="F107" s="562"/>
      <c r="G107" s="562"/>
      <c r="H107" s="562"/>
      <c r="I107" s="562"/>
      <c r="J107" s="234"/>
      <c r="K107" s="248"/>
      <c r="L107" s="149"/>
      <c r="M107" s="539"/>
      <c r="N107" s="44"/>
      <c r="R107" s="44"/>
      <c r="S107" s="21"/>
      <c r="AE107" s="143"/>
    </row>
    <row r="108" spans="1:31" ht="25" customHeight="1" thickBot="1">
      <c r="A108" s="25"/>
      <c r="B108" s="110"/>
      <c r="C108" s="25"/>
      <c r="D108" s="243"/>
      <c r="E108" s="243"/>
      <c r="F108" s="243"/>
      <c r="G108" s="243"/>
      <c r="H108" s="243"/>
      <c r="I108" s="243"/>
      <c r="J108" s="234"/>
      <c r="K108" s="247"/>
      <c r="L108" s="149"/>
      <c r="M108" s="539"/>
      <c r="N108" s="44"/>
      <c r="R108" s="44"/>
      <c r="S108" s="21"/>
      <c r="AE108" s="143"/>
    </row>
    <row r="109" spans="1:31" ht="25" customHeight="1" thickTop="1" thickBot="1">
      <c r="A109" s="25"/>
      <c r="B109" s="110"/>
      <c r="C109" s="25"/>
      <c r="D109" s="561" t="s">
        <v>184</v>
      </c>
      <c r="E109" s="561"/>
      <c r="F109" s="561"/>
      <c r="G109" s="561"/>
      <c r="H109" s="561"/>
      <c r="I109" s="561"/>
      <c r="J109" s="218" t="s">
        <v>193</v>
      </c>
      <c r="K109" s="199">
        <v>8</v>
      </c>
      <c r="L109" s="537" t="s">
        <v>291</v>
      </c>
      <c r="M109" s="538" t="str">
        <f>IF(K109&lt;&gt;8,"WARNING: Required H_FRONT_PORCH value is 8","")</f>
        <v/>
      </c>
      <c r="N109" s="44"/>
      <c r="R109" s="44"/>
      <c r="S109" s="21"/>
      <c r="AE109" s="143"/>
    </row>
    <row r="110" spans="1:31" ht="25" customHeight="1" thickTop="1" thickBot="1">
      <c r="A110" s="25"/>
      <c r="B110" s="110"/>
      <c r="C110" s="25"/>
      <c r="D110" s="561" t="s">
        <v>219</v>
      </c>
      <c r="E110" s="561"/>
      <c r="F110" s="561"/>
      <c r="G110" s="561"/>
      <c r="H110" s="561"/>
      <c r="I110" s="561"/>
      <c r="J110" s="218" t="s">
        <v>218</v>
      </c>
      <c r="K110" s="199">
        <v>32</v>
      </c>
      <c r="L110" s="537" t="s">
        <v>293</v>
      </c>
      <c r="M110" s="538" t="str">
        <f>IF(K110&lt;&gt;32,"WARNING: Required RB_H_SYNC value is 32","")</f>
        <v/>
      </c>
      <c r="N110" s="44"/>
      <c r="R110" s="143"/>
      <c r="S110" s="21"/>
      <c r="AE110" s="143"/>
    </row>
    <row r="111" spans="1:31" ht="25" customHeight="1" thickTop="1" thickBot="1">
      <c r="A111" s="25"/>
      <c r="B111" s="110"/>
      <c r="C111" s="25"/>
      <c r="D111" s="234"/>
      <c r="E111" s="234"/>
      <c r="F111" s="234"/>
      <c r="G111" s="234"/>
      <c r="H111" s="234"/>
      <c r="I111" s="234"/>
      <c r="J111" s="87"/>
      <c r="K111" s="245"/>
      <c r="L111" s="149"/>
      <c r="M111" s="539"/>
      <c r="N111" s="44"/>
      <c r="R111" s="143"/>
      <c r="S111" s="21"/>
      <c r="AE111" s="143"/>
    </row>
    <row r="112" spans="1:31" ht="25" customHeight="1" thickTop="1" thickBot="1">
      <c r="A112" s="25"/>
      <c r="B112" s="110"/>
      <c r="C112" s="25"/>
      <c r="D112" s="561" t="s">
        <v>373</v>
      </c>
      <c r="E112" s="561"/>
      <c r="F112" s="561"/>
      <c r="G112" s="561"/>
      <c r="H112" s="561"/>
      <c r="I112" s="561"/>
      <c r="J112" s="217" t="s">
        <v>220</v>
      </c>
      <c r="K112" s="200">
        <v>460</v>
      </c>
      <c r="L112" s="537" t="s">
        <v>294</v>
      </c>
      <c r="M112" s="538" t="str">
        <f>IF(K112&lt;&gt;460,"WARNING: Required RB_MIN_VBLANK value is 460","")</f>
        <v/>
      </c>
      <c r="N112" s="44"/>
      <c r="R112" s="143"/>
      <c r="S112" s="21"/>
      <c r="AE112" s="143"/>
    </row>
    <row r="113" spans="1:31" ht="22" thickTop="1" thickBot="1">
      <c r="A113" s="25"/>
      <c r="B113" s="110"/>
      <c r="C113" s="25"/>
      <c r="D113" s="555" t="s">
        <v>374</v>
      </c>
      <c r="E113" s="555"/>
      <c r="F113" s="555"/>
      <c r="G113" s="555"/>
      <c r="H113" s="555"/>
      <c r="I113" s="555"/>
      <c r="J113" s="556" t="s">
        <v>378</v>
      </c>
      <c r="K113" s="557">
        <v>300</v>
      </c>
      <c r="L113" s="558" t="s">
        <v>375</v>
      </c>
      <c r="M113" s="538" t="str">
        <f>IF(K113&lt;&gt;300,"WARNING: Required RB_MIN_VBLANK value is 460","")</f>
        <v/>
      </c>
      <c r="N113" s="44"/>
      <c r="O113" s="143"/>
      <c r="P113" s="21"/>
      <c r="Q113" s="238"/>
      <c r="R113" s="143"/>
      <c r="S113" s="21"/>
      <c r="AE113" s="143"/>
    </row>
    <row r="114" spans="1:31" ht="25" customHeight="1" thickTop="1" thickBot="1">
      <c r="A114" s="25"/>
      <c r="B114" s="110"/>
      <c r="C114" s="25"/>
      <c r="D114" s="561" t="s">
        <v>170</v>
      </c>
      <c r="E114" s="561"/>
      <c r="F114" s="561"/>
      <c r="G114" s="561"/>
      <c r="H114" s="561"/>
      <c r="I114" s="561"/>
      <c r="J114" s="218" t="s">
        <v>211</v>
      </c>
      <c r="K114" s="199">
        <f>K115</f>
        <v>1</v>
      </c>
      <c r="L114" s="537" t="s">
        <v>355</v>
      </c>
      <c r="M114" s="538" t="str">
        <f>IF(K114&lt;&gt;1,"WARNING: Required RB_V_FPORCH value is 1","")</f>
        <v/>
      </c>
      <c r="N114" s="44"/>
      <c r="O114" s="143"/>
      <c r="P114" s="21"/>
      <c r="Q114" s="238"/>
      <c r="R114" s="143"/>
      <c r="S114" s="21"/>
      <c r="AE114" s="143"/>
    </row>
    <row r="115" spans="1:31" ht="25" customHeight="1" thickTop="1" thickBot="1">
      <c r="A115" s="25"/>
      <c r="B115" s="110"/>
      <c r="C115" s="25"/>
      <c r="D115" s="568" t="s">
        <v>223</v>
      </c>
      <c r="E115" s="568"/>
      <c r="F115" s="568"/>
      <c r="G115" s="568"/>
      <c r="H115" s="568"/>
      <c r="I115" s="568"/>
      <c r="J115" s="217" t="s">
        <v>221</v>
      </c>
      <c r="K115" s="199">
        <v>1</v>
      </c>
      <c r="L115" s="149"/>
      <c r="M115" s="539" t="str">
        <f>IF(K115&lt;&gt;1,"WARNING: Required RB_V_FPORCH value is 1","")</f>
        <v/>
      </c>
      <c r="N115" s="44"/>
      <c r="O115" s="116"/>
      <c r="P115" s="118"/>
      <c r="Q115" s="119"/>
      <c r="R115" s="143"/>
      <c r="S115" s="21"/>
      <c r="AE115" s="143"/>
    </row>
    <row r="116" spans="1:31" ht="25" customHeight="1" thickTop="1" thickBot="1">
      <c r="A116" s="25"/>
      <c r="B116" s="110"/>
      <c r="C116" s="25"/>
      <c r="D116" s="134"/>
      <c r="E116" s="134"/>
      <c r="F116" s="134"/>
      <c r="G116" s="134"/>
      <c r="H116" s="134"/>
      <c r="I116" s="134"/>
      <c r="J116" s="134"/>
      <c r="K116" s="198"/>
      <c r="L116" s="149"/>
      <c r="M116" s="539"/>
      <c r="N116" s="44"/>
      <c r="O116" s="116"/>
      <c r="P116" s="118"/>
      <c r="Q116" s="119"/>
      <c r="R116" s="143"/>
      <c r="S116" s="21"/>
      <c r="AE116" s="143"/>
    </row>
    <row r="117" spans="1:31" ht="25" customHeight="1" thickTop="1" thickBot="1">
      <c r="A117" s="25"/>
      <c r="B117" s="110"/>
      <c r="C117" s="25"/>
      <c r="D117" s="561" t="s">
        <v>171</v>
      </c>
      <c r="E117" s="561"/>
      <c r="F117" s="561"/>
      <c r="G117" s="561"/>
      <c r="H117" s="561"/>
      <c r="I117" s="561"/>
      <c r="J117" s="218" t="s">
        <v>211</v>
      </c>
      <c r="K117" s="199">
        <f>K118</f>
        <v>6</v>
      </c>
      <c r="L117" s="219" t="s">
        <v>236</v>
      </c>
      <c r="M117" s="539" t="str">
        <f>IF(K117&lt;&gt;6,"WARNING: Required RB_MIN_V_BPORCH value is 6","")</f>
        <v/>
      </c>
      <c r="N117" s="44"/>
      <c r="O117" s="116"/>
      <c r="P117" s="118"/>
      <c r="Q117" s="119"/>
      <c r="R117" s="143"/>
      <c r="S117" s="21"/>
      <c r="AE117" s="143"/>
    </row>
    <row r="118" spans="1:31" ht="25" thickTop="1" thickBot="1">
      <c r="A118" s="25"/>
      <c r="B118" s="110"/>
      <c r="C118" s="25"/>
      <c r="D118" s="568" t="s">
        <v>248</v>
      </c>
      <c r="E118" s="568"/>
      <c r="F118" s="568"/>
      <c r="G118" s="568"/>
      <c r="H118" s="568"/>
      <c r="I118" s="568"/>
      <c r="J118" s="217" t="s">
        <v>224</v>
      </c>
      <c r="K118" s="199">
        <v>6</v>
      </c>
      <c r="L118" s="149"/>
      <c r="M118" s="539" t="str">
        <f>IF(K118&lt;&gt;6,"WARNING: Required RB_MIN_V_BPORCH value is 6","")</f>
        <v/>
      </c>
      <c r="O118" s="116"/>
      <c r="P118" s="118"/>
      <c r="Q118" s="119"/>
      <c r="R118" s="143"/>
      <c r="S118" s="21"/>
      <c r="W118" s="143"/>
      <c r="AE118" s="143"/>
    </row>
    <row r="119" spans="1:31" ht="25" customHeight="1" thickTop="1">
      <c r="A119" s="25"/>
      <c r="B119" s="110"/>
      <c r="C119" s="25"/>
      <c r="D119" s="11"/>
      <c r="E119" s="11"/>
      <c r="F119" s="25"/>
      <c r="G119" s="25"/>
      <c r="H119" s="25"/>
      <c r="I119" s="69"/>
      <c r="K119" s="114"/>
      <c r="L119" s="149"/>
      <c r="M119" s="539"/>
      <c r="N119" s="44"/>
      <c r="O119" s="116"/>
      <c r="P119" s="118"/>
      <c r="Q119" s="119"/>
      <c r="R119" s="143"/>
      <c r="S119" s="21"/>
      <c r="W119" s="143"/>
      <c r="AE119" s="143"/>
    </row>
    <row r="120" spans="1:31" ht="25" customHeight="1" thickBot="1">
      <c r="A120" s="25"/>
      <c r="B120" s="205" t="s">
        <v>159</v>
      </c>
      <c r="C120" s="25"/>
      <c r="D120" s="11"/>
      <c r="E120" s="11"/>
      <c r="F120" s="25"/>
      <c r="G120" s="25"/>
      <c r="H120" s="25"/>
      <c r="I120" s="69"/>
      <c r="L120" s="149"/>
      <c r="M120" s="539"/>
      <c r="N120" s="44"/>
      <c r="O120" s="116"/>
      <c r="P120" s="118"/>
      <c r="Q120" s="119"/>
      <c r="R120" s="143"/>
      <c r="S120" s="21"/>
      <c r="W120" s="143"/>
      <c r="AE120" s="143"/>
    </row>
    <row r="121" spans="1:31" ht="25" customHeight="1" thickTop="1" thickBot="1">
      <c r="A121" s="25"/>
      <c r="B121" s="205"/>
      <c r="C121" s="25"/>
      <c r="D121" s="567" t="s">
        <v>180</v>
      </c>
      <c r="E121" s="567"/>
      <c r="F121" s="567"/>
      <c r="G121" s="567"/>
      <c r="H121" s="567"/>
      <c r="I121" s="567"/>
      <c r="J121" s="218" t="s">
        <v>211</v>
      </c>
      <c r="K121" s="200">
        <f>FINE_CLOCK_STEP</f>
        <v>1E-3</v>
      </c>
      <c r="L121" s="537" t="s">
        <v>237</v>
      </c>
      <c r="M121" s="539" t="str">
        <f>IF(K121&lt;&gt;0.001,"WARNING: Required CLOCK_STEP value is 0.001","")</f>
        <v/>
      </c>
      <c r="N121" s="44"/>
      <c r="O121" s="116"/>
      <c r="P121" s="118"/>
      <c r="Q121" s="119"/>
      <c r="R121" s="143"/>
      <c r="S121" s="21"/>
      <c r="W121" s="143"/>
      <c r="AE121" s="143"/>
    </row>
    <row r="122" spans="1:31" ht="25" customHeight="1" thickTop="1" thickBot="1">
      <c r="A122" s="25"/>
      <c r="B122" s="1"/>
      <c r="C122" s="2"/>
      <c r="D122" s="563" t="s">
        <v>234</v>
      </c>
      <c r="E122" s="563"/>
      <c r="F122" s="563"/>
      <c r="G122" s="563"/>
      <c r="H122" s="563"/>
      <c r="I122" s="563"/>
      <c r="J122" s="217" t="s">
        <v>227</v>
      </c>
      <c r="K122" s="200">
        <v>1E-3</v>
      </c>
      <c r="L122" s="219"/>
      <c r="M122" s="539" t="str">
        <f>IF(K122&lt;&gt;0.001,"WARNING: Required CLOCK_STEP value is 0.001","")</f>
        <v/>
      </c>
      <c r="N122" s="44"/>
      <c r="O122" s="116"/>
      <c r="P122" s="118"/>
      <c r="Q122" s="119"/>
      <c r="R122" s="143"/>
      <c r="S122" s="21"/>
      <c r="AE122" s="143"/>
    </row>
    <row r="123" spans="1:31" ht="25" customHeight="1" thickTop="1">
      <c r="A123" s="25"/>
      <c r="B123" s="1"/>
      <c r="C123" s="2"/>
      <c r="D123" s="2"/>
      <c r="E123" s="2"/>
      <c r="F123" s="2"/>
      <c r="G123" s="2"/>
      <c r="H123" s="2"/>
      <c r="I123" s="2"/>
      <c r="J123" s="2"/>
      <c r="K123" s="115"/>
      <c r="L123" s="108"/>
      <c r="M123" s="539"/>
      <c r="N123" s="44"/>
      <c r="O123" s="116"/>
      <c r="P123" s="118"/>
      <c r="Q123" s="119"/>
      <c r="R123" s="143"/>
      <c r="S123" s="21"/>
      <c r="AE123" s="143"/>
    </row>
    <row r="124" spans="1:31" ht="25" customHeight="1">
      <c r="A124" s="25"/>
      <c r="B124" s="205" t="s">
        <v>166</v>
      </c>
      <c r="C124" s="116"/>
      <c r="D124" s="116"/>
      <c r="E124" s="116"/>
      <c r="F124" s="117"/>
      <c r="G124" s="112"/>
      <c r="H124" s="213"/>
      <c r="I124" s="44"/>
      <c r="J124" s="21"/>
      <c r="K124" s="238"/>
      <c r="L124" s="22"/>
      <c r="M124" s="539"/>
      <c r="N124" s="44"/>
      <c r="O124" s="116"/>
      <c r="P124" s="118"/>
      <c r="Q124" s="119"/>
      <c r="R124" s="21"/>
      <c r="S124" s="21"/>
      <c r="AE124" s="143"/>
    </row>
    <row r="125" spans="1:31" ht="25" customHeight="1" thickBot="1">
      <c r="A125" s="25"/>
      <c r="B125" s="120"/>
      <c r="C125" s="116"/>
      <c r="D125" s="116"/>
      <c r="E125" s="116"/>
      <c r="F125" s="116"/>
      <c r="G125" s="117"/>
      <c r="H125" s="112"/>
      <c r="I125" s="213"/>
      <c r="J125" s="44"/>
      <c r="K125" s="21"/>
      <c r="L125" s="238"/>
      <c r="M125" s="539"/>
      <c r="N125" s="44"/>
      <c r="O125" s="116"/>
      <c r="P125" s="118"/>
      <c r="Q125" s="119"/>
      <c r="R125" s="143"/>
      <c r="S125" s="21"/>
      <c r="AE125" s="143"/>
    </row>
    <row r="126" spans="1:31" ht="25" customHeight="1" thickBot="1">
      <c r="A126" s="25"/>
      <c r="B126" s="120"/>
      <c r="C126" s="208" t="s">
        <v>163</v>
      </c>
      <c r="D126" s="209" t="s">
        <v>164</v>
      </c>
      <c r="E126" s="210" t="s">
        <v>145</v>
      </c>
      <c r="F126" s="211"/>
      <c r="G126" s="212"/>
      <c r="H126" s="112"/>
      <c r="I126" s="213"/>
      <c r="J126" s="44"/>
      <c r="K126" s="21"/>
      <c r="L126" s="238"/>
      <c r="M126" s="539"/>
      <c r="N126" s="21"/>
      <c r="O126" s="116"/>
      <c r="P126" s="118"/>
      <c r="Q126" s="119"/>
      <c r="R126" s="143"/>
      <c r="S126" s="21"/>
      <c r="AE126" s="143"/>
    </row>
    <row r="127" spans="1:31" ht="24" thickBot="1">
      <c r="A127" s="25"/>
      <c r="B127" s="120"/>
      <c r="C127" s="206" t="s">
        <v>150</v>
      </c>
      <c r="D127" s="207" t="s">
        <v>149</v>
      </c>
      <c r="E127" s="564" t="s">
        <v>281</v>
      </c>
      <c r="F127" s="565"/>
      <c r="G127" s="566"/>
      <c r="H127" s="112"/>
      <c r="I127" s="213"/>
      <c r="J127" s="44"/>
      <c r="K127" s="21"/>
      <c r="L127" s="238"/>
      <c r="M127" s="539"/>
      <c r="O127" s="116"/>
      <c r="P127" s="118"/>
      <c r="Q127" s="119"/>
      <c r="R127" s="143"/>
      <c r="S127" s="21"/>
      <c r="AE127" s="143"/>
    </row>
    <row r="128" spans="1:31" ht="25" customHeight="1" thickBot="1">
      <c r="A128" s="25"/>
      <c r="B128" s="120"/>
      <c r="C128" s="116"/>
      <c r="D128" s="249"/>
      <c r="E128" s="112"/>
      <c r="F128" s="121"/>
      <c r="L128" s="112"/>
      <c r="M128" s="540"/>
      <c r="O128" s="116"/>
      <c r="P128" s="118"/>
      <c r="Q128" s="119"/>
      <c r="R128" s="143"/>
      <c r="S128" s="21"/>
      <c r="AE128" s="143"/>
    </row>
    <row r="129" spans="1:36" ht="25" customHeight="1" thickTop="1" thickBot="1">
      <c r="A129" s="25"/>
      <c r="B129" s="205" t="s">
        <v>177</v>
      </c>
      <c r="C129" s="116"/>
      <c r="D129" s="116"/>
      <c r="E129" s="138"/>
      <c r="F129" s="116"/>
      <c r="G129" s="116"/>
      <c r="H129" s="116"/>
      <c r="I129" s="116"/>
      <c r="J129" s="218" t="s">
        <v>211</v>
      </c>
      <c r="K129" s="201">
        <f>IF(AND((RED_BLANK_RQD="y"),(RED_BLANK_VER=3)),K131,K130)</f>
        <v>350</v>
      </c>
      <c r="L129" s="537" t="s">
        <v>295</v>
      </c>
      <c r="M129" s="538" t="str">
        <f>IF(AND(K130&lt;&gt;0,K130&lt;&gt;350),"WARNING: Required V_FIELD_RATE_PPM_ADJ value is 0 or 350","")</f>
        <v/>
      </c>
      <c r="O129" s="116"/>
      <c r="P129" s="118"/>
      <c r="Q129" s="119"/>
      <c r="R129" s="143"/>
      <c r="S129" s="21"/>
      <c r="AE129" s="143"/>
    </row>
    <row r="130" spans="1:36" ht="25" customHeight="1" thickTop="1" thickBot="1">
      <c r="A130" s="25"/>
      <c r="B130" s="120"/>
      <c r="C130" s="116"/>
      <c r="D130" s="567" t="s">
        <v>277</v>
      </c>
      <c r="E130" s="567"/>
      <c r="F130" s="567"/>
      <c r="G130" s="567"/>
      <c r="H130" s="567"/>
      <c r="I130" s="567"/>
      <c r="J130" s="217" t="s">
        <v>231</v>
      </c>
      <c r="K130" s="200">
        <v>0</v>
      </c>
      <c r="L130" s="213"/>
      <c r="M130" s="539" t="str">
        <f>IF(K130&lt;&gt;0,"WARNING: Required V_FIELD_RATE_PPM_ADJ value is 0","")</f>
        <v/>
      </c>
      <c r="N130" s="44"/>
      <c r="O130" s="2"/>
      <c r="P130" s="125"/>
      <c r="Q130" s="126"/>
      <c r="R130" s="143"/>
      <c r="S130" s="21"/>
      <c r="AE130" s="143"/>
    </row>
    <row r="131" spans="1:36" ht="25" customHeight="1" thickTop="1" thickBot="1">
      <c r="A131" s="25"/>
      <c r="B131" s="120"/>
      <c r="C131" s="116"/>
      <c r="D131" s="567" t="s">
        <v>230</v>
      </c>
      <c r="E131" s="567"/>
      <c r="F131" s="567"/>
      <c r="G131" s="567"/>
      <c r="H131" s="567"/>
      <c r="I131" s="567"/>
      <c r="J131" s="217" t="s">
        <v>232</v>
      </c>
      <c r="K131" s="200">
        <f>U13</f>
        <v>350</v>
      </c>
      <c r="L131" s="213"/>
      <c r="M131" s="539" t="str">
        <f>IF(K131&lt;&gt;350,"WARNING: Required V_FIELD_RATE_PPM_ADJ value is 350","")</f>
        <v/>
      </c>
      <c r="N131" s="44"/>
      <c r="O131" s="125"/>
      <c r="P131" s="126"/>
      <c r="Q131" s="115"/>
      <c r="R131" s="143"/>
      <c r="S131" s="21"/>
      <c r="AE131" s="143"/>
    </row>
    <row r="132" spans="1:36" ht="25" customHeight="1" thickTop="1" thickBot="1">
      <c r="A132" s="25"/>
      <c r="B132" s="122"/>
      <c r="C132" s="123"/>
      <c r="D132" s="123"/>
      <c r="E132" s="124"/>
      <c r="F132" s="123"/>
      <c r="G132" s="123"/>
      <c r="H132" s="123"/>
      <c r="I132" s="123"/>
      <c r="J132" s="123"/>
      <c r="K132" s="123"/>
      <c r="L132" s="214"/>
      <c r="M132" s="215"/>
      <c r="N132" s="44"/>
      <c r="O132" s="125"/>
      <c r="P132" s="126"/>
      <c r="Q132" s="115"/>
      <c r="R132" s="143"/>
      <c r="S132" s="21"/>
      <c r="AE132" s="143"/>
    </row>
    <row r="133" spans="1:36" ht="19" thickTop="1">
      <c r="N133" s="44"/>
      <c r="O133" s="125"/>
      <c r="P133" s="126"/>
      <c r="Q133" s="115"/>
      <c r="R133" s="143"/>
      <c r="S133" s="21"/>
      <c r="AE133" s="143"/>
    </row>
    <row r="134" spans="1:36" ht="23.5" customHeight="1">
      <c r="N134" s="44"/>
      <c r="O134" s="125"/>
      <c r="P134" s="126"/>
      <c r="Q134" s="115"/>
      <c r="R134" s="143"/>
      <c r="S134" s="21"/>
      <c r="AE134" s="143"/>
    </row>
    <row r="135" spans="1:36" ht="18">
      <c r="N135" s="44"/>
      <c r="O135" s="125"/>
      <c r="P135" s="126"/>
      <c r="Q135" s="115"/>
      <c r="R135" s="143"/>
      <c r="S135" s="21"/>
      <c r="AE135" s="143"/>
    </row>
    <row r="136" spans="1:36" ht="25" customHeight="1">
      <c r="N136" s="44"/>
      <c r="O136" s="125"/>
      <c r="P136" s="126"/>
      <c r="Q136" s="115"/>
      <c r="R136" s="143"/>
      <c r="S136" s="21"/>
      <c r="AE136" s="143"/>
    </row>
    <row r="137" spans="1:36" ht="25" customHeight="1">
      <c r="N137" s="44"/>
      <c r="O137" s="125"/>
      <c r="P137" s="126"/>
      <c r="Q137" s="115"/>
      <c r="R137" s="143"/>
      <c r="S137" s="21"/>
      <c r="AE137" s="143"/>
    </row>
    <row r="138" spans="1:36" ht="25" customHeight="1">
      <c r="O138" s="125"/>
      <c r="P138" s="126"/>
      <c r="Q138" s="115"/>
      <c r="R138" s="143"/>
      <c r="S138" s="21"/>
      <c r="AE138" s="143"/>
    </row>
    <row r="139" spans="1:36" ht="25" customHeight="1">
      <c r="O139" s="125"/>
      <c r="P139" s="126"/>
      <c r="Q139" s="115"/>
      <c r="R139" s="143"/>
      <c r="S139" s="21"/>
      <c r="AE139" s="143"/>
      <c r="AJ139" s="44"/>
    </row>
    <row r="140" spans="1:36" ht="59.25" customHeight="1">
      <c r="R140" s="143"/>
      <c r="S140" s="21"/>
      <c r="AE140" s="143"/>
      <c r="AJ140" s="44"/>
    </row>
    <row r="141" spans="1:36" ht="25" customHeight="1">
      <c r="R141" s="143"/>
      <c r="S141" s="21"/>
      <c r="AE141" s="143"/>
      <c r="AJ141" s="44"/>
    </row>
    <row r="142" spans="1:36" ht="25" customHeight="1">
      <c r="R142" s="143"/>
      <c r="S142" s="21"/>
      <c r="AE142" s="143"/>
    </row>
    <row r="143" spans="1:36" ht="25" customHeight="1">
      <c r="R143" s="143"/>
      <c r="S143" s="21"/>
      <c r="AE143" s="143"/>
    </row>
    <row r="144" spans="1:36" ht="25" customHeight="1">
      <c r="R144" s="143"/>
      <c r="S144" s="21"/>
      <c r="AE144" s="143"/>
    </row>
    <row r="145" spans="18:31">
      <c r="R145" s="143"/>
      <c r="S145" s="21"/>
      <c r="AE145" s="143"/>
    </row>
    <row r="146" spans="18:31">
      <c r="R146" s="143"/>
      <c r="S146" s="143"/>
      <c r="AE146" s="143"/>
    </row>
    <row r="147" spans="18:31">
      <c r="R147" s="143"/>
      <c r="S147" s="21"/>
      <c r="W147" s="143"/>
      <c r="X147" s="21"/>
      <c r="AE147" s="143"/>
    </row>
    <row r="148" spans="18:31" ht="23">
      <c r="R148" s="143"/>
      <c r="S148" s="21"/>
      <c r="W148" s="143"/>
      <c r="X148" s="21"/>
      <c r="Y148" s="116"/>
      <c r="AE148" s="143"/>
    </row>
    <row r="149" spans="18:31" ht="23">
      <c r="R149" s="143"/>
      <c r="S149" s="21"/>
      <c r="W149" s="116"/>
      <c r="X149" s="118"/>
      <c r="Y149" s="116"/>
      <c r="AE149" s="143"/>
    </row>
    <row r="150" spans="18:31" ht="23">
      <c r="R150" s="143"/>
      <c r="S150" s="21"/>
      <c r="W150" s="116"/>
      <c r="X150" s="118"/>
      <c r="Y150" s="116"/>
      <c r="AE150" s="143"/>
    </row>
    <row r="151" spans="18:31" ht="23">
      <c r="R151" s="143"/>
      <c r="S151" s="21"/>
      <c r="W151" s="116"/>
      <c r="X151" s="118"/>
      <c r="Y151" s="116"/>
      <c r="AE151" s="143"/>
    </row>
    <row r="152" spans="18:31" ht="23">
      <c r="R152" s="143"/>
      <c r="S152" s="21"/>
      <c r="W152" s="116"/>
      <c r="X152" s="118"/>
      <c r="Y152" s="116"/>
      <c r="AE152" s="143"/>
    </row>
    <row r="153" spans="18:31" ht="23">
      <c r="R153" s="143"/>
      <c r="S153" s="21"/>
      <c r="W153" s="116"/>
      <c r="X153" s="118"/>
      <c r="Y153" s="116"/>
      <c r="AE153" s="143"/>
    </row>
    <row r="154" spans="18:31" ht="44.5" customHeight="1">
      <c r="R154" s="143"/>
      <c r="S154" s="21"/>
      <c r="W154" s="116"/>
      <c r="X154" s="118"/>
      <c r="Y154" s="116"/>
      <c r="AE154" s="143"/>
    </row>
    <row r="155" spans="18:31" ht="23">
      <c r="R155" s="143"/>
      <c r="S155" s="21"/>
      <c r="W155" s="116"/>
      <c r="X155" s="118"/>
      <c r="Y155" s="116"/>
      <c r="AE155" s="143"/>
    </row>
    <row r="156" spans="18:31" ht="23">
      <c r="R156" s="143"/>
      <c r="S156" s="21"/>
      <c r="W156" s="116"/>
      <c r="X156" s="118"/>
      <c r="Y156" s="116"/>
      <c r="AE156" s="143"/>
    </row>
    <row r="157" spans="18:31" ht="23">
      <c r="R157" s="143"/>
      <c r="S157" s="21"/>
      <c r="W157" s="116"/>
      <c r="X157" s="118"/>
      <c r="Y157" s="116"/>
      <c r="AE157" s="143"/>
    </row>
    <row r="158" spans="18:31" ht="23">
      <c r="R158" s="143"/>
      <c r="S158" s="21"/>
      <c r="W158" s="116"/>
      <c r="X158" s="118"/>
      <c r="Y158" s="116"/>
      <c r="AE158" s="143"/>
    </row>
    <row r="159" spans="18:31" ht="23">
      <c r="R159" s="143"/>
      <c r="S159" s="21"/>
      <c r="W159" s="116"/>
      <c r="X159" s="118"/>
      <c r="Y159" s="116"/>
      <c r="AE159" s="143"/>
    </row>
    <row r="160" spans="18:31" ht="23">
      <c r="R160" s="143"/>
      <c r="S160" s="21"/>
      <c r="W160" s="116"/>
      <c r="X160" s="118"/>
      <c r="Y160" s="116"/>
      <c r="AE160" s="143"/>
    </row>
    <row r="161" spans="1:31" ht="23">
      <c r="R161" s="143"/>
      <c r="S161" s="21"/>
      <c r="V161" s="116"/>
      <c r="W161" s="116"/>
      <c r="X161" s="118"/>
      <c r="Y161" s="116"/>
      <c r="AE161" s="143"/>
    </row>
    <row r="162" spans="1:31" ht="23">
      <c r="R162" s="143"/>
      <c r="S162" s="21"/>
      <c r="V162" s="116"/>
      <c r="W162" s="116"/>
      <c r="X162" s="118"/>
      <c r="Y162" s="116"/>
      <c r="AE162" s="143"/>
    </row>
    <row r="163" spans="1:31" ht="23">
      <c r="A163" s="116"/>
      <c r="R163" s="143"/>
      <c r="S163" s="21"/>
      <c r="V163" s="116"/>
      <c r="W163" s="116"/>
      <c r="X163" s="118"/>
      <c r="Y163" s="2"/>
      <c r="AE163" s="143"/>
    </row>
    <row r="164" spans="1:31" ht="23">
      <c r="A164" s="116"/>
      <c r="R164" s="143"/>
      <c r="S164" s="21"/>
      <c r="V164" s="116"/>
      <c r="W164" s="2"/>
      <c r="X164" s="125"/>
      <c r="Y164" s="2"/>
      <c r="AE164" s="143"/>
    </row>
    <row r="165" spans="1:31" ht="23">
      <c r="A165" s="116"/>
      <c r="R165" s="22"/>
      <c r="S165" s="143"/>
      <c r="T165" s="21"/>
      <c r="V165" s="116"/>
      <c r="W165" s="125"/>
      <c r="X165" s="2"/>
      <c r="Y165" s="2"/>
      <c r="AE165" s="143"/>
    </row>
    <row r="166" spans="1:31" ht="23">
      <c r="A166" s="116"/>
      <c r="R166" s="22"/>
      <c r="S166" s="143"/>
      <c r="T166" s="21"/>
      <c r="V166" s="116"/>
      <c r="W166" s="125"/>
      <c r="X166" s="2"/>
      <c r="Y166" s="2"/>
      <c r="AE166" s="143"/>
    </row>
    <row r="167" spans="1:31" ht="23">
      <c r="A167" s="116"/>
      <c r="R167" s="117"/>
      <c r="S167" s="116"/>
      <c r="T167" s="118"/>
      <c r="U167" s="116"/>
      <c r="V167" s="116"/>
      <c r="W167" s="125"/>
      <c r="X167" s="2"/>
      <c r="Y167" s="2"/>
      <c r="AE167" s="143"/>
    </row>
    <row r="168" spans="1:31" ht="23">
      <c r="A168" s="116"/>
      <c r="R168" s="117"/>
      <c r="S168" s="116"/>
      <c r="T168" s="118"/>
      <c r="U168" s="116"/>
      <c r="V168" s="116"/>
      <c r="W168" s="125"/>
      <c r="X168" s="2"/>
      <c r="Y168" s="2"/>
      <c r="AA168" s="116"/>
      <c r="AB168" s="116"/>
      <c r="AC168" s="116"/>
      <c r="AE168" s="143"/>
    </row>
    <row r="169" spans="1:31" ht="23">
      <c r="A169" s="116"/>
      <c r="R169" s="117"/>
      <c r="S169" s="116"/>
      <c r="T169" s="118"/>
      <c r="U169" s="116"/>
      <c r="V169" s="116"/>
      <c r="W169" s="125"/>
      <c r="X169" s="2"/>
      <c r="Y169" s="2"/>
      <c r="AA169" s="116"/>
      <c r="AB169" s="116"/>
      <c r="AC169" s="116"/>
      <c r="AE169" s="143"/>
    </row>
    <row r="170" spans="1:31" ht="24" customHeight="1">
      <c r="A170" s="116"/>
      <c r="R170" s="117"/>
      <c r="S170" s="116"/>
      <c r="T170" s="118"/>
      <c r="U170" s="116"/>
      <c r="V170" s="116"/>
      <c r="W170" s="125"/>
      <c r="X170" s="2"/>
      <c r="Y170" s="2"/>
      <c r="Z170" s="116"/>
      <c r="AA170" s="116"/>
      <c r="AB170" s="116"/>
      <c r="AC170" s="116"/>
      <c r="AE170" s="143"/>
    </row>
    <row r="171" spans="1:31" ht="24" customHeight="1">
      <c r="A171" s="116"/>
      <c r="R171" s="117"/>
      <c r="S171" s="116"/>
      <c r="T171" s="118"/>
      <c r="U171" s="116"/>
      <c r="V171" s="116"/>
      <c r="W171" s="125"/>
      <c r="X171" s="2"/>
      <c r="Y171" s="2"/>
      <c r="Z171" s="116"/>
      <c r="AA171" s="116"/>
      <c r="AB171" s="116"/>
      <c r="AC171" s="116"/>
      <c r="AE171" s="143"/>
    </row>
    <row r="172" spans="1:31" s="116" customFormat="1" ht="24" customHeight="1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2"/>
      <c r="O172" s="21"/>
      <c r="P172" s="238"/>
      <c r="Q172" s="22"/>
      <c r="R172" s="117"/>
      <c r="T172" s="118"/>
      <c r="W172" s="125"/>
      <c r="X172" s="2"/>
      <c r="Y172" s="2"/>
    </row>
    <row r="173" spans="1:31" s="116" customFormat="1" ht="24" customHeight="1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2"/>
      <c r="O173" s="21"/>
      <c r="P173" s="238"/>
      <c r="Q173" s="22"/>
      <c r="R173" s="117"/>
      <c r="T173" s="118"/>
      <c r="W173" s="125"/>
      <c r="X173" s="2"/>
      <c r="Y173" s="2"/>
    </row>
    <row r="174" spans="1:31" s="116" customFormat="1" ht="24" customHeight="1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O174" s="21"/>
      <c r="P174" s="238"/>
      <c r="Q174" s="22"/>
      <c r="R174" s="117"/>
      <c r="T174" s="118"/>
      <c r="W174" s="125"/>
      <c r="X174" s="2"/>
      <c r="Y174" s="2"/>
    </row>
    <row r="175" spans="1:31" s="116" customFormat="1" ht="24" customHeight="1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O175" s="21"/>
      <c r="P175" s="238"/>
      <c r="Q175" s="22"/>
      <c r="R175" s="117"/>
      <c r="T175" s="118"/>
      <c r="W175" s="21"/>
      <c r="X175" s="143"/>
      <c r="Y175" s="143"/>
    </row>
    <row r="176" spans="1:31" s="116" customFormat="1" ht="24" customHeight="1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O176" s="21"/>
      <c r="P176" s="238"/>
      <c r="Q176" s="22"/>
      <c r="R176" s="117"/>
      <c r="T176" s="118"/>
      <c r="V176" s="2"/>
      <c r="W176" s="21"/>
      <c r="X176" s="143"/>
      <c r="Y176" s="143"/>
    </row>
    <row r="177" spans="1:35" s="116" customFormat="1" ht="24" customHeight="1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O177" s="21"/>
      <c r="P177" s="238"/>
      <c r="Q177" s="22"/>
      <c r="R177" s="117"/>
      <c r="T177" s="118"/>
      <c r="V177" s="2"/>
      <c r="W177" s="21"/>
      <c r="X177" s="143"/>
      <c r="Y177" s="143"/>
    </row>
    <row r="178" spans="1:35" s="116" customFormat="1" ht="24" customHeight="1">
      <c r="A178" s="2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O178" s="21"/>
      <c r="P178" s="238"/>
      <c r="Q178" s="22"/>
      <c r="R178" s="117"/>
      <c r="T178" s="118"/>
      <c r="V178" s="2"/>
      <c r="W178" s="21"/>
      <c r="X178" s="143"/>
      <c r="Y178" s="143"/>
    </row>
    <row r="179" spans="1:35" s="116" customFormat="1" ht="24" customHeight="1">
      <c r="A179" s="127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O179" s="21"/>
      <c r="P179" s="238"/>
      <c r="Q179" s="22"/>
      <c r="R179" s="117"/>
      <c r="T179" s="118"/>
      <c r="V179" s="2"/>
      <c r="W179" s="21"/>
      <c r="X179" s="143"/>
      <c r="Y179" s="143"/>
    </row>
    <row r="180" spans="1:35" s="116" customFormat="1" ht="24" customHeight="1">
      <c r="A180" s="2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O180" s="21"/>
      <c r="P180" s="238"/>
      <c r="Q180" s="22"/>
      <c r="R180" s="117"/>
      <c r="T180" s="118"/>
      <c r="V180" s="2"/>
      <c r="W180" s="21"/>
      <c r="X180" s="143"/>
      <c r="Y180" s="143"/>
    </row>
    <row r="181" spans="1:35" s="116" customFormat="1" ht="24" customHeight="1">
      <c r="A181" s="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O181" s="21"/>
      <c r="P181" s="238"/>
      <c r="Q181" s="22"/>
      <c r="R181" s="117"/>
      <c r="S181" s="2"/>
      <c r="T181" s="125"/>
      <c r="U181" s="2"/>
      <c r="V181" s="2"/>
      <c r="W181" s="21"/>
      <c r="X181" s="143"/>
      <c r="Y181" s="143"/>
    </row>
    <row r="182" spans="1:35" s="116" customFormat="1" ht="24" customHeight="1">
      <c r="A182" s="2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O182" s="21"/>
      <c r="P182" s="238"/>
      <c r="Q182" s="22"/>
      <c r="R182" s="115"/>
      <c r="S182" s="125"/>
      <c r="T182" s="2"/>
      <c r="U182" s="2"/>
      <c r="V182" s="2"/>
      <c r="W182" s="21"/>
      <c r="X182" s="143"/>
      <c r="Y182" s="143"/>
    </row>
    <row r="183" spans="1:35" s="116" customFormat="1" ht="24" customHeight="1">
      <c r="A183" s="2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O183" s="21"/>
      <c r="P183" s="238"/>
      <c r="Q183" s="22"/>
      <c r="R183" s="2"/>
      <c r="S183" s="125"/>
      <c r="T183" s="2"/>
      <c r="U183" s="2"/>
      <c r="V183" s="2"/>
      <c r="W183" s="21"/>
      <c r="X183" s="143"/>
      <c r="Y183" s="143"/>
    </row>
    <row r="184" spans="1:35" s="116" customFormat="1" ht="24" customHeight="1">
      <c r="A184" s="2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O184" s="21"/>
      <c r="P184" s="238"/>
      <c r="Q184" s="22"/>
      <c r="R184" s="2"/>
      <c r="S184" s="125"/>
      <c r="T184" s="2"/>
      <c r="U184" s="2"/>
      <c r="V184" s="2"/>
      <c r="W184" s="21"/>
      <c r="X184" s="143"/>
      <c r="Y184" s="143"/>
      <c r="AA184" s="2"/>
      <c r="AB184" s="2"/>
      <c r="AC184" s="2"/>
    </row>
    <row r="185" spans="1:35" s="116" customFormat="1" ht="24" customHeight="1">
      <c r="A185" s="2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O185" s="21"/>
      <c r="P185" s="238"/>
      <c r="Q185" s="22"/>
      <c r="R185" s="2"/>
      <c r="S185" s="125"/>
      <c r="T185" s="2"/>
      <c r="U185" s="2"/>
      <c r="V185" s="2"/>
      <c r="W185" s="21"/>
      <c r="X185" s="143"/>
      <c r="Y185" s="143"/>
      <c r="AA185" s="2"/>
      <c r="AB185" s="2"/>
      <c r="AC185" s="2"/>
    </row>
    <row r="186" spans="1:35" s="116" customFormat="1" ht="24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O186" s="21"/>
      <c r="P186" s="238"/>
      <c r="Q186" s="22"/>
      <c r="R186" s="2"/>
      <c r="S186" s="125"/>
      <c r="T186" s="2"/>
      <c r="U186" s="2"/>
      <c r="V186" s="143"/>
      <c r="W186" s="21"/>
      <c r="X186" s="143"/>
      <c r="Y186" s="143"/>
      <c r="Z186" s="2"/>
      <c r="AA186" s="2"/>
      <c r="AB186" s="2"/>
      <c r="AC186" s="2"/>
    </row>
    <row r="187" spans="1:35" s="2" customFormat="1" ht="23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16"/>
      <c r="O187" s="21"/>
      <c r="P187" s="238"/>
      <c r="Q187" s="22"/>
      <c r="S187" s="21"/>
      <c r="T187" s="143"/>
      <c r="U187" s="143"/>
      <c r="V187" s="143"/>
      <c r="W187" s="21"/>
      <c r="X187" s="143"/>
      <c r="Y187" s="143"/>
      <c r="AI187" s="3"/>
    </row>
    <row r="188" spans="1:35" s="2" customFormat="1" ht="23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16"/>
      <c r="O188" s="21"/>
      <c r="P188" s="238"/>
      <c r="Q188" s="22"/>
      <c r="S188" s="21"/>
      <c r="T188" s="143"/>
      <c r="U188" s="143"/>
      <c r="V188" s="143"/>
      <c r="W188" s="21"/>
      <c r="X188" s="143"/>
      <c r="Y188" s="143"/>
      <c r="AI188" s="3"/>
    </row>
    <row r="189" spans="1:35" s="2" customFormat="1" ht="18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O189" s="21"/>
      <c r="P189" s="238"/>
      <c r="Q189" s="22"/>
      <c r="R189" s="143"/>
      <c r="S189" s="21"/>
      <c r="T189" s="143"/>
      <c r="U189" s="143"/>
      <c r="V189" s="143"/>
      <c r="W189" s="21"/>
      <c r="X189" s="143"/>
      <c r="Y189" s="143"/>
      <c r="AA189" s="143"/>
      <c r="AB189" s="143"/>
      <c r="AC189" s="143"/>
      <c r="AI189" s="3"/>
    </row>
    <row r="190" spans="1:35" s="2" customFormat="1" ht="18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O190" s="21"/>
      <c r="P190" s="238"/>
      <c r="Q190" s="22"/>
      <c r="R190" s="143"/>
      <c r="S190" s="21"/>
      <c r="T190" s="143"/>
      <c r="U190" s="143"/>
      <c r="V190" s="143"/>
      <c r="W190" s="21"/>
      <c r="X190" s="143"/>
      <c r="Y190" s="143"/>
      <c r="AA190" s="143"/>
      <c r="AB190" s="143"/>
      <c r="AC190" s="143"/>
    </row>
    <row r="191" spans="1:35" s="2" customFormat="1" ht="18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O191" s="21"/>
      <c r="P191" s="238"/>
      <c r="Q191" s="22"/>
      <c r="R191" s="143"/>
      <c r="S191" s="21"/>
      <c r="T191" s="143"/>
      <c r="U191" s="143"/>
      <c r="V191" s="143"/>
      <c r="W191" s="21"/>
      <c r="X191" s="143"/>
      <c r="Y191" s="143"/>
      <c r="Z191" s="143"/>
      <c r="AA191" s="143"/>
      <c r="AB191" s="143"/>
      <c r="AC191" s="143"/>
    </row>
    <row r="192" spans="1:35" s="2" customFormat="1" ht="18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O192" s="21"/>
      <c r="P192" s="238"/>
      <c r="Q192" s="22"/>
      <c r="R192" s="143"/>
      <c r="S192" s="21"/>
      <c r="T192" s="143"/>
      <c r="U192" s="143"/>
      <c r="V192" s="143"/>
      <c r="W192" s="21"/>
      <c r="X192" s="143"/>
      <c r="Y192" s="143"/>
      <c r="Z192" s="143"/>
      <c r="AA192" s="143"/>
      <c r="AB192" s="143"/>
      <c r="AC192" s="143"/>
    </row>
    <row r="193" spans="14:31" ht="18">
      <c r="N193" s="2"/>
      <c r="R193" s="143"/>
      <c r="S193" s="21"/>
      <c r="AE193" s="143"/>
    </row>
    <row r="194" spans="14:31" ht="18">
      <c r="N194" s="2"/>
      <c r="R194" s="143"/>
      <c r="S194" s="21"/>
      <c r="AE194" s="143"/>
    </row>
    <row r="195" spans="14:31">
      <c r="R195" s="143"/>
      <c r="S195" s="21"/>
      <c r="AE195" s="143"/>
    </row>
    <row r="196" spans="14:31">
      <c r="R196" s="143"/>
      <c r="S196" s="21"/>
      <c r="AE196" s="143"/>
    </row>
    <row r="197" spans="14:31">
      <c r="R197" s="143"/>
      <c r="S197" s="21"/>
      <c r="AE197" s="143"/>
    </row>
    <row r="198" spans="14:31">
      <c r="R198" s="143"/>
      <c r="S198" s="21"/>
      <c r="AE198" s="143"/>
    </row>
    <row r="199" spans="14:31">
      <c r="R199" s="143"/>
      <c r="S199" s="21"/>
      <c r="AE199" s="143"/>
    </row>
    <row r="200" spans="14:31">
      <c r="R200" s="143"/>
      <c r="S200" s="21"/>
      <c r="AE200" s="143"/>
    </row>
    <row r="201" spans="14:31">
      <c r="R201" s="143"/>
      <c r="S201" s="21"/>
      <c r="AE201" s="143"/>
    </row>
    <row r="202" spans="14:31">
      <c r="R202" s="143"/>
      <c r="S202" s="21"/>
      <c r="AE202" s="143"/>
    </row>
    <row r="203" spans="14:31">
      <c r="R203" s="143"/>
      <c r="S203" s="21"/>
      <c r="AE203" s="143"/>
    </row>
    <row r="204" spans="14:31">
      <c r="R204" s="143"/>
      <c r="S204" s="21"/>
      <c r="AE204" s="143"/>
    </row>
    <row r="205" spans="14:31">
      <c r="R205" s="143"/>
      <c r="S205" s="21"/>
      <c r="AE205" s="143"/>
    </row>
    <row r="206" spans="14:31">
      <c r="R206" s="143"/>
      <c r="S206" s="21"/>
      <c r="AE206" s="143"/>
    </row>
    <row r="207" spans="14:31">
      <c r="R207" s="143"/>
      <c r="S207" s="21"/>
      <c r="AE207" s="143"/>
    </row>
    <row r="208" spans="14:31">
      <c r="R208" s="143"/>
      <c r="S208" s="21"/>
      <c r="AE208" s="143"/>
    </row>
    <row r="209" spans="18:31">
      <c r="R209" s="143"/>
      <c r="S209" s="21"/>
      <c r="AE209" s="143"/>
    </row>
    <row r="210" spans="18:31">
      <c r="R210" s="143"/>
      <c r="S210" s="21"/>
      <c r="AE210" s="143"/>
    </row>
    <row r="211" spans="18:31">
      <c r="R211" s="143"/>
      <c r="S211" s="21"/>
      <c r="AE211" s="143"/>
    </row>
    <row r="212" spans="18:31">
      <c r="R212" s="143"/>
      <c r="S212" s="21"/>
      <c r="AE212" s="143"/>
    </row>
    <row r="213" spans="18:31">
      <c r="R213" s="143"/>
      <c r="S213" s="21"/>
      <c r="AE213" s="143"/>
    </row>
    <row r="214" spans="18:31">
      <c r="R214" s="143"/>
      <c r="S214" s="21"/>
      <c r="AE214" s="143"/>
    </row>
    <row r="215" spans="18:31">
      <c r="R215" s="143"/>
      <c r="S215" s="21"/>
      <c r="AE215" s="143"/>
    </row>
    <row r="216" spans="18:31">
      <c r="R216" s="143"/>
      <c r="S216" s="21"/>
      <c r="AE216" s="143"/>
    </row>
    <row r="217" spans="18:31">
      <c r="R217" s="143"/>
      <c r="S217" s="21"/>
      <c r="AE217" s="143"/>
    </row>
    <row r="218" spans="18:31">
      <c r="R218" s="143"/>
      <c r="S218" s="21"/>
      <c r="AE218" s="143"/>
    </row>
    <row r="219" spans="18:31">
      <c r="R219" s="143"/>
      <c r="S219" s="21"/>
      <c r="AE219" s="143"/>
    </row>
    <row r="220" spans="18:31">
      <c r="R220" s="143"/>
      <c r="S220" s="21"/>
      <c r="AE220" s="143"/>
    </row>
    <row r="221" spans="18:31">
      <c r="R221" s="143"/>
      <c r="S221" s="21"/>
      <c r="AE221" s="143"/>
    </row>
    <row r="222" spans="18:31">
      <c r="R222" s="143"/>
      <c r="S222" s="21"/>
      <c r="AE222" s="143"/>
    </row>
    <row r="223" spans="18:31">
      <c r="R223" s="143"/>
      <c r="S223" s="21"/>
      <c r="AE223" s="143"/>
    </row>
    <row r="224" spans="18:31">
      <c r="R224" s="143"/>
      <c r="S224" s="21"/>
      <c r="AE224" s="143"/>
    </row>
    <row r="225" spans="18:31">
      <c r="R225" s="143"/>
      <c r="S225" s="21"/>
      <c r="AE225" s="143"/>
    </row>
    <row r="226" spans="18:31">
      <c r="R226" s="143"/>
      <c r="S226" s="21"/>
      <c r="AE226" s="143"/>
    </row>
    <row r="227" spans="18:31">
      <c r="R227" s="143"/>
      <c r="S227" s="21"/>
      <c r="AE227" s="143"/>
    </row>
    <row r="228" spans="18:31">
      <c r="R228" s="143"/>
      <c r="S228" s="21"/>
      <c r="AE228" s="143"/>
    </row>
    <row r="229" spans="18:31">
      <c r="R229" s="143"/>
      <c r="S229" s="21"/>
      <c r="AE229" s="143"/>
    </row>
    <row r="230" spans="18:31">
      <c r="R230" s="143"/>
      <c r="S230" s="21"/>
      <c r="AE230" s="143"/>
    </row>
    <row r="231" spans="18:31">
      <c r="R231" s="143"/>
      <c r="S231" s="21"/>
      <c r="AE231" s="143"/>
    </row>
    <row r="232" spans="18:31">
      <c r="R232" s="143"/>
      <c r="S232" s="21"/>
      <c r="AE232" s="143"/>
    </row>
    <row r="233" spans="18:31">
      <c r="R233" s="143"/>
      <c r="S233" s="21"/>
      <c r="AE233" s="143"/>
    </row>
    <row r="234" spans="18:31">
      <c r="R234" s="143"/>
      <c r="S234" s="21"/>
      <c r="AE234" s="143"/>
    </row>
    <row r="235" spans="18:31">
      <c r="R235" s="143"/>
      <c r="S235" s="21"/>
      <c r="AE235" s="143"/>
    </row>
    <row r="236" spans="18:31">
      <c r="R236" s="143"/>
      <c r="S236" s="21"/>
      <c r="AE236" s="143"/>
    </row>
    <row r="237" spans="18:31">
      <c r="R237" s="143"/>
      <c r="S237" s="21"/>
      <c r="AE237" s="143"/>
    </row>
    <row r="238" spans="18:31">
      <c r="R238" s="143"/>
      <c r="S238" s="21"/>
      <c r="AE238" s="143"/>
    </row>
    <row r="239" spans="18:31">
      <c r="R239" s="143"/>
      <c r="S239" s="21"/>
      <c r="AE239" s="143"/>
    </row>
    <row r="240" spans="18:31">
      <c r="R240" s="143"/>
      <c r="S240" s="21"/>
      <c r="AE240" s="143"/>
    </row>
    <row r="241" spans="18:31">
      <c r="R241" s="143"/>
      <c r="S241" s="21"/>
      <c r="AE241" s="143"/>
    </row>
    <row r="242" spans="18:31">
      <c r="R242" s="143"/>
      <c r="S242" s="21"/>
      <c r="AE242" s="143"/>
    </row>
    <row r="243" spans="18:31">
      <c r="R243" s="143"/>
      <c r="S243" s="21"/>
      <c r="AE243" s="143"/>
    </row>
    <row r="244" spans="18:31">
      <c r="R244" s="143"/>
      <c r="S244" s="21"/>
      <c r="AE244" s="143"/>
    </row>
    <row r="245" spans="18:31">
      <c r="R245" s="143"/>
      <c r="S245" s="21"/>
      <c r="W245" s="128"/>
      <c r="AE245" s="143"/>
    </row>
    <row r="246" spans="18:31">
      <c r="R246" s="143"/>
      <c r="S246" s="21"/>
      <c r="W246" s="128"/>
      <c r="AE246" s="143"/>
    </row>
    <row r="247" spans="18:31">
      <c r="R247" s="143"/>
      <c r="S247" s="21"/>
      <c r="W247" s="128"/>
      <c r="AE247" s="143"/>
    </row>
    <row r="248" spans="18:31">
      <c r="R248" s="143"/>
      <c r="S248" s="21"/>
      <c r="W248" s="128"/>
      <c r="AE248" s="143"/>
    </row>
    <row r="249" spans="18:31">
      <c r="R249" s="143"/>
      <c r="S249" s="21"/>
      <c r="W249" s="128"/>
      <c r="AE249" s="143"/>
    </row>
    <row r="250" spans="18:31">
      <c r="R250" s="143"/>
      <c r="S250" s="21"/>
      <c r="W250" s="128"/>
      <c r="AE250" s="143"/>
    </row>
    <row r="251" spans="18:31">
      <c r="R251" s="143"/>
      <c r="S251" s="21"/>
      <c r="W251" s="128"/>
      <c r="AE251" s="143"/>
    </row>
    <row r="252" spans="18:31">
      <c r="R252" s="143"/>
      <c r="S252" s="21"/>
      <c r="W252" s="128"/>
      <c r="AE252" s="143"/>
    </row>
    <row r="253" spans="18:31">
      <c r="R253" s="143"/>
      <c r="S253" s="21"/>
      <c r="W253" s="128"/>
      <c r="AE253" s="143"/>
    </row>
    <row r="254" spans="18:31">
      <c r="R254" s="143"/>
      <c r="S254" s="21"/>
      <c r="W254" s="128"/>
      <c r="AE254" s="143"/>
    </row>
    <row r="255" spans="18:31">
      <c r="R255" s="143"/>
      <c r="S255" s="21"/>
      <c r="W255" s="128"/>
      <c r="AE255" s="143"/>
    </row>
    <row r="256" spans="18:31">
      <c r="R256" s="143"/>
      <c r="S256" s="21"/>
      <c r="W256" s="128"/>
      <c r="AE256" s="143"/>
    </row>
    <row r="257" spans="18:31">
      <c r="R257" s="143"/>
      <c r="S257" s="21"/>
      <c r="W257" s="128"/>
      <c r="AE257" s="143"/>
    </row>
    <row r="258" spans="18:31">
      <c r="R258" s="143"/>
      <c r="S258" s="21"/>
      <c r="W258" s="128"/>
      <c r="AE258" s="143"/>
    </row>
    <row r="259" spans="18:31">
      <c r="R259" s="143"/>
      <c r="S259" s="21"/>
      <c r="W259" s="128"/>
      <c r="AE259" s="143"/>
    </row>
    <row r="260" spans="18:31">
      <c r="R260" s="143"/>
      <c r="S260" s="21"/>
      <c r="W260" s="128"/>
      <c r="AE260" s="143"/>
    </row>
    <row r="261" spans="18:31">
      <c r="R261" s="143"/>
      <c r="S261" s="21"/>
      <c r="W261" s="128"/>
      <c r="AE261" s="143"/>
    </row>
    <row r="262" spans="18:31">
      <c r="R262" s="143"/>
      <c r="S262" s="21"/>
      <c r="W262" s="128"/>
      <c r="AE262" s="143"/>
    </row>
    <row r="263" spans="18:31">
      <c r="R263" s="143"/>
      <c r="S263" s="21"/>
      <c r="W263" s="128"/>
      <c r="AE263" s="143"/>
    </row>
    <row r="264" spans="18:31">
      <c r="R264" s="143"/>
      <c r="S264" s="21"/>
      <c r="W264" s="128"/>
      <c r="AE264" s="143"/>
    </row>
    <row r="265" spans="18:31">
      <c r="R265" s="143"/>
      <c r="S265" s="21"/>
      <c r="W265" s="128"/>
      <c r="AE265" s="143"/>
    </row>
    <row r="266" spans="18:31">
      <c r="R266" s="143"/>
      <c r="S266" s="21"/>
      <c r="W266" s="128"/>
      <c r="AE266" s="143"/>
    </row>
    <row r="267" spans="18:31">
      <c r="R267" s="143"/>
      <c r="S267" s="21"/>
      <c r="W267" s="128"/>
      <c r="AE267" s="143"/>
    </row>
    <row r="268" spans="18:31">
      <c r="R268" s="143"/>
      <c r="S268" s="21"/>
      <c r="W268" s="128"/>
      <c r="AE268" s="143"/>
    </row>
    <row r="269" spans="18:31">
      <c r="R269" s="143"/>
      <c r="S269" s="21"/>
      <c r="W269" s="128"/>
      <c r="AE269" s="143"/>
    </row>
    <row r="270" spans="18:31">
      <c r="R270" s="143"/>
      <c r="S270" s="21"/>
      <c r="W270" s="128"/>
      <c r="AE270" s="143"/>
    </row>
    <row r="271" spans="18:31">
      <c r="R271" s="143"/>
      <c r="S271" s="21"/>
      <c r="W271" s="128"/>
      <c r="AE271" s="143"/>
    </row>
    <row r="272" spans="18:31">
      <c r="R272" s="143"/>
      <c r="S272" s="21"/>
      <c r="W272" s="128"/>
      <c r="AE272" s="143"/>
    </row>
    <row r="273" spans="18:31">
      <c r="R273" s="143"/>
      <c r="S273" s="21"/>
      <c r="W273" s="128"/>
      <c r="AE273" s="143"/>
    </row>
    <row r="274" spans="18:31">
      <c r="R274" s="143"/>
      <c r="S274" s="21"/>
      <c r="W274" s="128"/>
      <c r="AE274" s="143"/>
    </row>
    <row r="275" spans="18:31">
      <c r="R275" s="143"/>
      <c r="S275" s="21"/>
      <c r="W275" s="128"/>
      <c r="AE275" s="143"/>
    </row>
    <row r="276" spans="18:31">
      <c r="R276" s="143"/>
      <c r="S276" s="21"/>
      <c r="W276" s="128"/>
      <c r="AE276" s="143"/>
    </row>
    <row r="277" spans="18:31">
      <c r="R277" s="143"/>
      <c r="S277" s="21"/>
      <c r="W277" s="128"/>
      <c r="AE277" s="143"/>
    </row>
    <row r="278" spans="18:31">
      <c r="R278" s="143"/>
      <c r="S278" s="21"/>
      <c r="W278" s="128"/>
      <c r="AE278" s="143"/>
    </row>
    <row r="279" spans="18:31">
      <c r="R279" s="143"/>
      <c r="S279" s="21"/>
      <c r="W279" s="128"/>
      <c r="AE279" s="143"/>
    </row>
    <row r="280" spans="18:31">
      <c r="R280" s="143"/>
      <c r="S280" s="21"/>
      <c r="W280" s="128"/>
      <c r="AE280" s="143"/>
    </row>
    <row r="281" spans="18:31">
      <c r="R281" s="143"/>
      <c r="S281" s="21"/>
      <c r="W281" s="128"/>
      <c r="AE281" s="143"/>
    </row>
    <row r="282" spans="18:31">
      <c r="R282" s="143"/>
      <c r="S282" s="21"/>
      <c r="W282" s="128"/>
      <c r="AE282" s="143"/>
    </row>
    <row r="283" spans="18:31">
      <c r="R283" s="143"/>
      <c r="S283" s="21"/>
      <c r="W283" s="128"/>
      <c r="AE283" s="143"/>
    </row>
    <row r="284" spans="18:31">
      <c r="R284" s="143"/>
      <c r="S284" s="21"/>
      <c r="W284" s="128"/>
      <c r="AE284" s="143"/>
    </row>
    <row r="285" spans="18:31">
      <c r="R285" s="143"/>
      <c r="S285" s="21"/>
      <c r="W285" s="128"/>
      <c r="AE285" s="143"/>
    </row>
    <row r="286" spans="18:31">
      <c r="R286" s="143"/>
      <c r="S286" s="21"/>
      <c r="W286" s="128"/>
      <c r="AE286" s="143"/>
    </row>
    <row r="287" spans="18:31">
      <c r="R287" s="143"/>
      <c r="S287" s="21"/>
      <c r="W287" s="128"/>
      <c r="AE287" s="143"/>
    </row>
    <row r="288" spans="18:31">
      <c r="R288" s="143"/>
      <c r="S288" s="21"/>
      <c r="W288" s="128"/>
      <c r="AE288" s="143"/>
    </row>
    <row r="289" spans="18:31">
      <c r="R289" s="143"/>
      <c r="S289" s="21"/>
      <c r="W289" s="128"/>
      <c r="AE289" s="143"/>
    </row>
    <row r="290" spans="18:31">
      <c r="R290" s="143"/>
      <c r="S290" s="21"/>
      <c r="W290" s="128"/>
      <c r="AE290" s="143"/>
    </row>
    <row r="291" spans="18:31">
      <c r="R291" s="143"/>
      <c r="S291" s="21"/>
      <c r="W291" s="128"/>
      <c r="AE291" s="143"/>
    </row>
    <row r="292" spans="18:31">
      <c r="R292" s="143"/>
      <c r="S292" s="21"/>
      <c r="W292" s="128"/>
      <c r="AE292" s="143"/>
    </row>
    <row r="293" spans="18:31">
      <c r="R293" s="143"/>
      <c r="S293" s="21"/>
      <c r="W293" s="128"/>
      <c r="AE293" s="143"/>
    </row>
    <row r="294" spans="18:31">
      <c r="R294" s="143"/>
      <c r="S294" s="21"/>
      <c r="W294" s="128"/>
      <c r="AE294" s="143"/>
    </row>
    <row r="295" spans="18:31">
      <c r="R295" s="143"/>
      <c r="S295" s="21"/>
      <c r="W295" s="128"/>
      <c r="AE295" s="143"/>
    </row>
    <row r="296" spans="18:31">
      <c r="R296" s="143"/>
      <c r="S296" s="21"/>
      <c r="W296" s="128"/>
      <c r="AE296" s="143"/>
    </row>
    <row r="297" spans="18:31">
      <c r="R297" s="143"/>
      <c r="S297" s="21"/>
      <c r="W297" s="128"/>
      <c r="AE297" s="143"/>
    </row>
    <row r="298" spans="18:31">
      <c r="R298" s="143"/>
      <c r="S298" s="21"/>
      <c r="W298" s="128"/>
      <c r="AE298" s="143"/>
    </row>
    <row r="299" spans="18:31">
      <c r="R299" s="143"/>
      <c r="S299" s="21"/>
      <c r="W299" s="128"/>
      <c r="AE299" s="143"/>
    </row>
    <row r="300" spans="18:31">
      <c r="R300" s="143"/>
      <c r="S300" s="21"/>
      <c r="W300" s="128"/>
      <c r="AE300" s="143"/>
    </row>
    <row r="301" spans="18:31">
      <c r="R301" s="143"/>
      <c r="S301" s="21"/>
      <c r="W301" s="128"/>
      <c r="AE301" s="143"/>
    </row>
    <row r="302" spans="18:31">
      <c r="R302" s="143"/>
      <c r="S302" s="21"/>
      <c r="W302" s="128"/>
      <c r="AE302" s="143"/>
    </row>
    <row r="303" spans="18:31">
      <c r="R303" s="143"/>
      <c r="S303" s="21"/>
      <c r="W303" s="128"/>
      <c r="AE303" s="143"/>
    </row>
    <row r="304" spans="18:31">
      <c r="R304" s="143"/>
      <c r="S304" s="21"/>
      <c r="W304" s="128"/>
      <c r="AE304" s="143"/>
    </row>
    <row r="305" spans="4:31">
      <c r="R305" s="143"/>
      <c r="S305" s="21"/>
      <c r="W305" s="128"/>
      <c r="AE305" s="143"/>
    </row>
    <row r="306" spans="4:31">
      <c r="R306" s="143"/>
      <c r="S306" s="21"/>
      <c r="W306" s="128"/>
      <c r="AE306" s="143"/>
    </row>
    <row r="307" spans="4:31">
      <c r="R307" s="143"/>
      <c r="S307" s="21"/>
      <c r="W307" s="128"/>
      <c r="AE307" s="143"/>
    </row>
    <row r="308" spans="4:31">
      <c r="R308" s="143"/>
      <c r="S308" s="21"/>
      <c r="W308" s="128"/>
      <c r="AE308" s="143"/>
    </row>
    <row r="309" spans="4:31">
      <c r="R309" s="143"/>
      <c r="S309" s="21"/>
      <c r="W309" s="128"/>
      <c r="AE309" s="143"/>
    </row>
    <row r="310" spans="4:31">
      <c r="R310" s="143"/>
      <c r="S310" s="21"/>
      <c r="W310" s="128"/>
      <c r="AE310" s="143"/>
    </row>
    <row r="311" spans="4:31">
      <c r="R311" s="143"/>
      <c r="S311" s="21"/>
      <c r="W311" s="128"/>
      <c r="AE311" s="143"/>
    </row>
    <row r="312" spans="4:31">
      <c r="R312" s="143"/>
      <c r="S312" s="21"/>
      <c r="W312" s="128"/>
      <c r="AE312" s="143"/>
    </row>
    <row r="313" spans="4:31">
      <c r="R313" s="143"/>
      <c r="S313" s="21"/>
      <c r="W313" s="128"/>
      <c r="AE313" s="143"/>
    </row>
    <row r="314" spans="4:31">
      <c r="R314" s="143"/>
      <c r="S314" s="21"/>
      <c r="W314" s="128"/>
      <c r="AE314" s="143"/>
    </row>
    <row r="315" spans="4:31">
      <c r="R315" s="143"/>
      <c r="S315" s="21"/>
      <c r="W315" s="128"/>
      <c r="AE315" s="143"/>
    </row>
    <row r="316" spans="4:31">
      <c r="R316" s="143"/>
      <c r="S316" s="21"/>
      <c r="W316" s="128"/>
      <c r="AE316" s="143"/>
    </row>
    <row r="317" spans="4:31">
      <c r="R317" s="143"/>
      <c r="S317" s="21"/>
      <c r="W317" s="128"/>
      <c r="AE317" s="143"/>
    </row>
    <row r="318" spans="4:31">
      <c r="R318" s="143"/>
      <c r="S318" s="21"/>
      <c r="W318" s="128"/>
      <c r="AE318" s="143"/>
    </row>
    <row r="319" spans="4:31">
      <c r="R319" s="143"/>
      <c r="S319" s="21"/>
      <c r="W319" s="128"/>
      <c r="AE319" s="143"/>
    </row>
    <row r="320" spans="4:31">
      <c r="D320" s="22"/>
      <c r="R320" s="143"/>
      <c r="S320" s="21"/>
      <c r="W320" s="128"/>
      <c r="AE320" s="143"/>
    </row>
    <row r="321" spans="11:31">
      <c r="K321" s="22"/>
      <c r="R321" s="143"/>
      <c r="S321" s="21"/>
      <c r="W321" s="128"/>
      <c r="AE321" s="143"/>
    </row>
    <row r="322" spans="11:31">
      <c r="R322" s="143"/>
      <c r="S322" s="21"/>
      <c r="W322" s="128"/>
      <c r="AE322" s="143"/>
    </row>
    <row r="323" spans="11:31">
      <c r="R323" s="143"/>
      <c r="S323" s="21"/>
      <c r="W323" s="128"/>
      <c r="AE323" s="143"/>
    </row>
    <row r="324" spans="11:31">
      <c r="R324" s="143"/>
      <c r="S324" s="21"/>
      <c r="W324" s="128"/>
      <c r="Y324" s="44"/>
      <c r="AE324" s="143"/>
    </row>
    <row r="325" spans="11:31">
      <c r="R325" s="143"/>
      <c r="S325" s="21"/>
      <c r="W325" s="128"/>
      <c r="X325" s="44"/>
      <c r="Y325" s="44"/>
      <c r="AE325" s="143"/>
    </row>
    <row r="326" spans="11:31">
      <c r="R326" s="143"/>
      <c r="S326" s="21"/>
      <c r="T326" s="44"/>
      <c r="U326" s="67"/>
      <c r="W326" s="128"/>
      <c r="X326" s="44"/>
      <c r="Y326" s="44"/>
      <c r="AE326" s="143"/>
    </row>
    <row r="327" spans="11:31">
      <c r="R327" s="143"/>
      <c r="S327" s="21"/>
      <c r="T327" s="44"/>
      <c r="U327" s="67"/>
      <c r="W327" s="128"/>
      <c r="X327" s="44"/>
      <c r="Y327" s="44"/>
      <c r="AE327" s="143"/>
    </row>
    <row r="328" spans="11:31">
      <c r="R328" s="143"/>
      <c r="S328" s="21"/>
      <c r="T328" s="44"/>
      <c r="U328" s="44"/>
      <c r="W328" s="128"/>
      <c r="X328" s="44"/>
      <c r="Y328" s="44"/>
      <c r="AE328" s="143"/>
    </row>
    <row r="329" spans="11:31">
      <c r="R329" s="143"/>
      <c r="S329" s="21"/>
      <c r="T329" s="44"/>
      <c r="U329" s="44"/>
      <c r="W329" s="128"/>
      <c r="X329" s="44"/>
      <c r="Y329" s="44"/>
      <c r="AE329" s="143"/>
    </row>
    <row r="330" spans="11:31">
      <c r="R330" s="143"/>
      <c r="S330" s="21"/>
      <c r="T330" s="44"/>
      <c r="U330" s="44"/>
      <c r="W330" s="128"/>
      <c r="X330" s="44"/>
      <c r="Y330" s="44"/>
      <c r="AE330" s="143"/>
    </row>
    <row r="331" spans="11:31">
      <c r="R331" s="143"/>
      <c r="S331" s="21"/>
      <c r="T331" s="44"/>
      <c r="U331" s="44"/>
      <c r="W331" s="128"/>
      <c r="X331" s="44"/>
      <c r="Y331" s="44"/>
      <c r="AE331" s="143"/>
    </row>
    <row r="332" spans="11:31">
      <c r="R332" s="143"/>
      <c r="S332" s="21"/>
      <c r="T332" s="44"/>
      <c r="U332" s="44"/>
      <c r="W332" s="128"/>
      <c r="X332" s="44"/>
      <c r="Y332" s="44"/>
      <c r="AE332" s="143"/>
    </row>
    <row r="333" spans="11:31">
      <c r="R333" s="143"/>
      <c r="S333" s="21"/>
      <c r="T333" s="44"/>
      <c r="U333" s="44"/>
      <c r="W333" s="128"/>
      <c r="X333" s="44"/>
      <c r="Y333" s="44"/>
      <c r="AE333" s="143"/>
    </row>
    <row r="334" spans="11:31">
      <c r="R334" s="143"/>
      <c r="S334" s="21"/>
      <c r="T334" s="44"/>
      <c r="U334" s="44"/>
      <c r="W334" s="128"/>
      <c r="X334" s="44"/>
      <c r="Y334" s="44"/>
      <c r="AE334" s="143"/>
    </row>
    <row r="335" spans="11:31">
      <c r="R335" s="143"/>
      <c r="S335" s="21"/>
      <c r="T335" s="44"/>
      <c r="U335" s="44"/>
      <c r="W335" s="128"/>
      <c r="X335" s="44"/>
      <c r="Y335" s="44"/>
      <c r="AE335" s="143"/>
    </row>
    <row r="336" spans="11:31">
      <c r="R336" s="143"/>
      <c r="S336" s="21"/>
      <c r="T336" s="44"/>
      <c r="U336" s="44"/>
      <c r="W336" s="128"/>
      <c r="X336" s="44"/>
      <c r="Y336" s="44"/>
      <c r="AE336" s="143"/>
    </row>
    <row r="337" spans="18:31">
      <c r="R337" s="143"/>
      <c r="S337" s="21"/>
      <c r="T337" s="44"/>
      <c r="U337" s="44"/>
      <c r="W337" s="128"/>
      <c r="X337" s="44"/>
      <c r="Y337" s="44"/>
      <c r="AE337" s="143"/>
    </row>
    <row r="338" spans="18:31">
      <c r="R338" s="143"/>
      <c r="S338" s="21"/>
      <c r="T338" s="44"/>
      <c r="U338" s="44"/>
      <c r="W338" s="128"/>
      <c r="X338" s="44"/>
      <c r="Y338" s="44"/>
      <c r="AE338" s="143"/>
    </row>
    <row r="339" spans="18:31">
      <c r="R339" s="143"/>
      <c r="S339" s="21"/>
      <c r="T339" s="44"/>
      <c r="U339" s="73"/>
      <c r="W339" s="128"/>
      <c r="X339" s="44"/>
      <c r="Y339" s="44"/>
      <c r="AE339" s="143"/>
    </row>
    <row r="340" spans="18:31">
      <c r="R340" s="143"/>
      <c r="S340" s="21"/>
      <c r="T340" s="44"/>
      <c r="U340" s="73"/>
      <c r="W340" s="128"/>
      <c r="X340" s="44"/>
      <c r="Y340" s="44"/>
      <c r="AE340" s="143"/>
    </row>
    <row r="341" spans="18:31">
      <c r="R341" s="143"/>
      <c r="S341" s="21"/>
      <c r="T341" s="44"/>
      <c r="U341" s="44"/>
      <c r="W341" s="128"/>
      <c r="X341" s="44"/>
      <c r="Y341" s="44"/>
      <c r="AE341" s="143"/>
    </row>
    <row r="342" spans="18:31">
      <c r="R342" s="143"/>
      <c r="S342" s="21"/>
      <c r="T342" s="44"/>
      <c r="U342" s="67"/>
      <c r="W342" s="128"/>
      <c r="X342" s="44"/>
      <c r="Y342" s="44"/>
      <c r="AE342" s="143"/>
    </row>
    <row r="343" spans="18:31">
      <c r="R343" s="143"/>
      <c r="S343" s="21"/>
      <c r="T343" s="44"/>
      <c r="U343" s="44"/>
      <c r="W343" s="128"/>
      <c r="X343" s="44"/>
      <c r="Y343" s="44"/>
      <c r="AE343" s="143"/>
    </row>
    <row r="344" spans="18:31">
      <c r="R344" s="143"/>
      <c r="S344" s="21"/>
      <c r="T344" s="44"/>
      <c r="U344" s="44"/>
      <c r="W344" s="128"/>
      <c r="X344" s="44"/>
      <c r="Y344" s="44"/>
      <c r="AE344" s="143"/>
    </row>
    <row r="345" spans="18:31">
      <c r="R345" s="143"/>
      <c r="S345" s="21"/>
      <c r="T345" s="44"/>
      <c r="U345" s="44"/>
      <c r="W345" s="128"/>
      <c r="X345" s="44"/>
      <c r="Y345" s="44"/>
      <c r="AE345" s="143"/>
    </row>
    <row r="346" spans="18:31">
      <c r="R346" s="143"/>
      <c r="S346" s="129"/>
      <c r="T346" s="44"/>
      <c r="U346" s="44"/>
      <c r="W346" s="128"/>
      <c r="X346" s="44"/>
      <c r="Y346" s="44"/>
      <c r="AE346" s="143"/>
    </row>
    <row r="347" spans="18:31">
      <c r="R347" s="143"/>
      <c r="S347" s="129"/>
      <c r="T347" s="44"/>
      <c r="U347" s="44"/>
      <c r="Y347" s="44"/>
      <c r="AE347" s="143"/>
    </row>
    <row r="348" spans="18:31">
      <c r="R348" s="143"/>
      <c r="Y348" s="44"/>
      <c r="AE348" s="143"/>
    </row>
    <row r="349" spans="18:31">
      <c r="R349" s="143"/>
      <c r="Y349" s="44"/>
      <c r="AE349" s="143"/>
    </row>
    <row r="350" spans="18:31">
      <c r="R350" s="143"/>
      <c r="Y350" s="44"/>
      <c r="AE350" s="143"/>
    </row>
    <row r="351" spans="18:31">
      <c r="R351" s="143"/>
      <c r="Y351" s="44"/>
      <c r="AE351" s="143"/>
    </row>
    <row r="352" spans="18:31">
      <c r="R352" s="143"/>
      <c r="Y352" s="44"/>
      <c r="AE352" s="143"/>
    </row>
    <row r="353" spans="18:31">
      <c r="R353" s="143"/>
      <c r="V353" s="44"/>
      <c r="Y353" s="44"/>
      <c r="AE353" s="143"/>
    </row>
    <row r="354" spans="18:31">
      <c r="R354" s="143"/>
      <c r="V354" s="44"/>
      <c r="Y354" s="44"/>
      <c r="AE354" s="143"/>
    </row>
    <row r="355" spans="18:31">
      <c r="R355" s="143"/>
      <c r="V355" s="44"/>
      <c r="Y355" s="44"/>
      <c r="AE355" s="143"/>
    </row>
    <row r="356" spans="18:31">
      <c r="R356" s="143"/>
      <c r="V356" s="44"/>
      <c r="Y356" s="44"/>
      <c r="AE356" s="143"/>
    </row>
    <row r="357" spans="18:31">
      <c r="V357" s="44"/>
      <c r="Y357" s="44"/>
      <c r="AE357" s="143"/>
    </row>
    <row r="358" spans="18:31">
      <c r="V358" s="44"/>
      <c r="Y358" s="44"/>
      <c r="AE358" s="143"/>
    </row>
    <row r="359" spans="18:31">
      <c r="V359" s="44"/>
      <c r="Y359" s="44"/>
      <c r="AE359" s="143"/>
    </row>
    <row r="360" spans="18:31">
      <c r="V360" s="44"/>
      <c r="Y360" s="44"/>
      <c r="AE360" s="143"/>
    </row>
    <row r="361" spans="18:31">
      <c r="V361" s="44"/>
      <c r="Y361" s="44"/>
      <c r="AE361" s="143"/>
    </row>
    <row r="362" spans="18:31">
      <c r="V362" s="44"/>
      <c r="Y362" s="44"/>
      <c r="Z362" s="44"/>
      <c r="AE362" s="143"/>
    </row>
    <row r="363" spans="18:31">
      <c r="V363" s="44"/>
      <c r="Y363" s="44"/>
      <c r="Z363" s="44"/>
      <c r="AE363" s="143"/>
    </row>
    <row r="364" spans="18:31">
      <c r="V364" s="44"/>
      <c r="Y364" s="44"/>
      <c r="Z364" s="44"/>
      <c r="AE364" s="143"/>
    </row>
    <row r="365" spans="18:31">
      <c r="V365" s="44"/>
      <c r="Y365" s="44"/>
      <c r="Z365" s="44"/>
      <c r="AE365" s="143"/>
    </row>
    <row r="366" spans="18:31">
      <c r="V366" s="44"/>
      <c r="Y366" s="44"/>
      <c r="Z366" s="44"/>
      <c r="AE366" s="143"/>
    </row>
    <row r="367" spans="18:31">
      <c r="V367" s="44"/>
      <c r="Y367" s="44"/>
      <c r="Z367" s="44"/>
      <c r="AE367" s="143"/>
    </row>
    <row r="368" spans="18:31">
      <c r="V368" s="44"/>
      <c r="Y368" s="44"/>
      <c r="Z368" s="44"/>
      <c r="AE368" s="143"/>
    </row>
    <row r="369" spans="22:31">
      <c r="V369" s="44"/>
      <c r="Y369" s="44"/>
      <c r="Z369" s="44"/>
      <c r="AE369" s="143"/>
    </row>
    <row r="370" spans="22:31">
      <c r="V370" s="44"/>
      <c r="Y370" s="44"/>
      <c r="Z370" s="44"/>
      <c r="AE370" s="143"/>
    </row>
    <row r="371" spans="22:31">
      <c r="V371" s="44"/>
      <c r="Y371" s="44"/>
      <c r="Z371" s="44"/>
      <c r="AE371" s="143"/>
    </row>
    <row r="372" spans="22:31">
      <c r="V372" s="44"/>
      <c r="Y372" s="44"/>
      <c r="Z372" s="44"/>
      <c r="AE372" s="143"/>
    </row>
    <row r="373" spans="22:31">
      <c r="V373" s="44"/>
      <c r="Y373" s="44"/>
      <c r="Z373" s="44"/>
      <c r="AE373" s="143"/>
    </row>
    <row r="374" spans="22:31">
      <c r="V374" s="44"/>
      <c r="Y374" s="44"/>
      <c r="Z374" s="44"/>
      <c r="AE374" s="143"/>
    </row>
    <row r="375" spans="22:31">
      <c r="Y375" s="44"/>
      <c r="Z375" s="44"/>
      <c r="AE375" s="143"/>
    </row>
    <row r="376" spans="22:31">
      <c r="Y376" s="44"/>
      <c r="Z376" s="44"/>
      <c r="AE376" s="143"/>
    </row>
    <row r="377" spans="22:31">
      <c r="Z377" s="44"/>
      <c r="AE377" s="143"/>
    </row>
    <row r="378" spans="22:31">
      <c r="Z378" s="44"/>
      <c r="AE378" s="143"/>
    </row>
    <row r="379" spans="22:31">
      <c r="Z379" s="44"/>
      <c r="AE379" s="143"/>
    </row>
    <row r="380" spans="22:31">
      <c r="Z380" s="67"/>
      <c r="AE380" s="143"/>
    </row>
    <row r="381" spans="22:31">
      <c r="Z381" s="67"/>
      <c r="AE381" s="143"/>
    </row>
    <row r="382" spans="22:31">
      <c r="Z382" s="67"/>
      <c r="AA382" s="44"/>
      <c r="AC382" s="44"/>
      <c r="AE382" s="143"/>
    </row>
    <row r="383" spans="22:31">
      <c r="Z383" s="44"/>
      <c r="AA383" s="44"/>
      <c r="AB383" s="44"/>
      <c r="AC383" s="44"/>
      <c r="AE383" s="143"/>
    </row>
    <row r="384" spans="22:31">
      <c r="Z384" s="131"/>
      <c r="AA384" s="44"/>
      <c r="AB384" s="44"/>
      <c r="AC384" s="44"/>
      <c r="AE384" s="143"/>
    </row>
    <row r="385" spans="26:35">
      <c r="Z385" s="131"/>
      <c r="AA385" s="44"/>
      <c r="AB385" s="44"/>
      <c r="AC385" s="44"/>
      <c r="AE385" s="143"/>
    </row>
    <row r="386" spans="26:35">
      <c r="Z386" s="131"/>
      <c r="AA386" s="44"/>
      <c r="AB386" s="44"/>
      <c r="AC386" s="44"/>
      <c r="AD386" s="44"/>
      <c r="AE386" s="85"/>
      <c r="AF386" s="44"/>
      <c r="AG386" s="44"/>
      <c r="AH386" s="44"/>
      <c r="AI386" s="44"/>
    </row>
    <row r="387" spans="26:35">
      <c r="Z387" s="44"/>
      <c r="AA387" s="44"/>
      <c r="AB387" s="44"/>
      <c r="AC387" s="44"/>
      <c r="AD387" s="44"/>
      <c r="AE387" s="85"/>
      <c r="AF387" s="44"/>
      <c r="AG387" s="44"/>
      <c r="AH387" s="44"/>
      <c r="AI387" s="67"/>
    </row>
    <row r="388" spans="26:35">
      <c r="Z388" s="44"/>
      <c r="AA388" s="44"/>
      <c r="AB388" s="44"/>
      <c r="AC388" s="44"/>
      <c r="AD388" s="44"/>
      <c r="AE388" s="85"/>
      <c r="AF388" s="44"/>
      <c r="AG388" s="44"/>
      <c r="AH388" s="44"/>
      <c r="AI388" s="44"/>
    </row>
    <row r="389" spans="26:35">
      <c r="Z389" s="44"/>
      <c r="AA389" s="44"/>
      <c r="AB389" s="44"/>
      <c r="AC389" s="44"/>
      <c r="AD389" s="44"/>
      <c r="AE389" s="85"/>
      <c r="AF389" s="44"/>
      <c r="AG389" s="44"/>
      <c r="AH389" s="44"/>
      <c r="AI389" s="67"/>
    </row>
    <row r="390" spans="26:35">
      <c r="Z390" s="44"/>
      <c r="AA390" s="44"/>
      <c r="AB390" s="44"/>
      <c r="AC390" s="44"/>
      <c r="AD390" s="44"/>
      <c r="AE390" s="85"/>
      <c r="AF390" s="44"/>
      <c r="AG390" s="44"/>
      <c r="AH390" s="44"/>
      <c r="AI390" s="44"/>
    </row>
    <row r="391" spans="26:35">
      <c r="Z391" s="44"/>
      <c r="AA391" s="44"/>
      <c r="AB391" s="44"/>
      <c r="AC391" s="44"/>
      <c r="AD391" s="44"/>
      <c r="AE391" s="85"/>
      <c r="AF391" s="44"/>
      <c r="AG391" s="44"/>
      <c r="AH391" s="44"/>
      <c r="AI391" s="44"/>
    </row>
    <row r="392" spans="26:35">
      <c r="Z392" s="44"/>
      <c r="AA392" s="44"/>
      <c r="AB392" s="44"/>
      <c r="AC392" s="44"/>
      <c r="AD392" s="44"/>
      <c r="AE392" s="85"/>
      <c r="AF392" s="44"/>
      <c r="AG392" s="44"/>
      <c r="AH392" s="44"/>
      <c r="AI392" s="44"/>
    </row>
    <row r="393" spans="26:35">
      <c r="Z393" s="44"/>
      <c r="AA393" s="44"/>
      <c r="AB393" s="44"/>
      <c r="AC393" s="44"/>
      <c r="AD393" s="44"/>
      <c r="AE393" s="85"/>
      <c r="AF393" s="44"/>
      <c r="AG393" s="44"/>
      <c r="AH393" s="44"/>
      <c r="AI393" s="44"/>
    </row>
    <row r="394" spans="26:35">
      <c r="Z394" s="44"/>
      <c r="AA394" s="44"/>
      <c r="AB394" s="44"/>
      <c r="AC394" s="67"/>
      <c r="AD394" s="67"/>
      <c r="AE394" s="85"/>
      <c r="AF394" s="44"/>
      <c r="AG394" s="44"/>
      <c r="AH394" s="44"/>
      <c r="AI394" s="44"/>
    </row>
    <row r="395" spans="26:35">
      <c r="Z395" s="44"/>
      <c r="AA395" s="44"/>
      <c r="AB395" s="44"/>
      <c r="AC395" s="44"/>
      <c r="AD395" s="44"/>
      <c r="AE395" s="85"/>
      <c r="AF395" s="44"/>
      <c r="AG395" s="44"/>
      <c r="AH395" s="44"/>
      <c r="AI395" s="44"/>
    </row>
    <row r="396" spans="26:35">
      <c r="Z396" s="44"/>
      <c r="AA396" s="44"/>
      <c r="AB396" s="44"/>
      <c r="AC396" s="67"/>
      <c r="AD396" s="44"/>
      <c r="AE396" s="85"/>
      <c r="AF396" s="44"/>
      <c r="AG396" s="44"/>
      <c r="AH396" s="44"/>
      <c r="AI396" s="44"/>
    </row>
    <row r="397" spans="26:35">
      <c r="Z397" s="44"/>
      <c r="AA397" s="44"/>
      <c r="AB397" s="44"/>
      <c r="AC397" s="67"/>
      <c r="AD397" s="44"/>
      <c r="AE397" s="85"/>
      <c r="AF397" s="44"/>
      <c r="AG397" s="44"/>
      <c r="AH397" s="44"/>
      <c r="AI397" s="44"/>
    </row>
    <row r="398" spans="26:35">
      <c r="Z398" s="44"/>
      <c r="AA398" s="44"/>
      <c r="AB398" s="44"/>
      <c r="AC398" s="44"/>
      <c r="AD398" s="44"/>
      <c r="AE398" s="85"/>
      <c r="AF398" s="44"/>
      <c r="AG398" s="44"/>
      <c r="AH398" s="44"/>
      <c r="AI398" s="44"/>
    </row>
    <row r="399" spans="26:35">
      <c r="Z399" s="44"/>
      <c r="AA399" s="44"/>
      <c r="AB399" s="44"/>
      <c r="AC399" s="44"/>
      <c r="AD399" s="44"/>
      <c r="AE399" s="85"/>
      <c r="AF399" s="44"/>
      <c r="AG399" s="44"/>
      <c r="AH399" s="44"/>
      <c r="AI399" s="44"/>
    </row>
    <row r="400" spans="26:35">
      <c r="Z400" s="44"/>
      <c r="AA400" s="44"/>
      <c r="AB400" s="44"/>
      <c r="AC400" s="44"/>
      <c r="AD400" s="44"/>
      <c r="AE400" s="85"/>
      <c r="AF400" s="44"/>
      <c r="AG400" s="44"/>
      <c r="AH400" s="44"/>
      <c r="AI400" s="44"/>
    </row>
    <row r="401" spans="26:35">
      <c r="Z401" s="44"/>
      <c r="AA401" s="44"/>
      <c r="AB401" s="44"/>
      <c r="AC401" s="44"/>
      <c r="AD401" s="44"/>
      <c r="AE401" s="85"/>
      <c r="AF401" s="44"/>
      <c r="AG401" s="44"/>
      <c r="AH401" s="44"/>
      <c r="AI401" s="44"/>
    </row>
    <row r="402" spans="26:35">
      <c r="Z402" s="44"/>
      <c r="AA402" s="44"/>
      <c r="AB402" s="44"/>
      <c r="AC402" s="44"/>
      <c r="AD402" s="44"/>
      <c r="AE402" s="85"/>
      <c r="AF402" s="44"/>
      <c r="AG402" s="44"/>
      <c r="AH402" s="44"/>
      <c r="AI402" s="44"/>
    </row>
    <row r="403" spans="26:35">
      <c r="Z403" s="44"/>
      <c r="AA403" s="44"/>
      <c r="AB403" s="44"/>
      <c r="AC403" s="44"/>
      <c r="AD403" s="44"/>
      <c r="AE403" s="85"/>
      <c r="AF403" s="44"/>
      <c r="AG403" s="44"/>
      <c r="AH403" s="44"/>
      <c r="AI403" s="44"/>
    </row>
    <row r="404" spans="26:35">
      <c r="Z404" s="44"/>
      <c r="AA404" s="44"/>
      <c r="AB404" s="44"/>
      <c r="AC404" s="44"/>
      <c r="AD404" s="44"/>
      <c r="AE404" s="85"/>
      <c r="AF404" s="44"/>
      <c r="AG404" s="44"/>
      <c r="AH404" s="44"/>
      <c r="AI404" s="44"/>
    </row>
    <row r="405" spans="26:35">
      <c r="Z405" s="44"/>
      <c r="AA405" s="44"/>
      <c r="AB405" s="44"/>
      <c r="AC405" s="44"/>
      <c r="AD405" s="44"/>
      <c r="AE405" s="85"/>
      <c r="AF405" s="44"/>
      <c r="AG405" s="131"/>
      <c r="AH405" s="44"/>
      <c r="AI405" s="44"/>
    </row>
    <row r="406" spans="26:35">
      <c r="Z406" s="44"/>
      <c r="AA406" s="44"/>
      <c r="AB406" s="44"/>
      <c r="AC406" s="44"/>
      <c r="AD406" s="44"/>
      <c r="AE406" s="85"/>
      <c r="AG406" s="131"/>
      <c r="AH406" s="44"/>
      <c r="AI406" s="44"/>
    </row>
    <row r="407" spans="26:35">
      <c r="Z407" s="44"/>
      <c r="AA407" s="44"/>
      <c r="AB407" s="44"/>
      <c r="AC407" s="44"/>
      <c r="AD407" s="44"/>
      <c r="AE407" s="85"/>
      <c r="AG407" s="131"/>
      <c r="AH407" s="44"/>
      <c r="AI407" s="44"/>
    </row>
    <row r="408" spans="26:35">
      <c r="Z408" s="44"/>
      <c r="AA408" s="44"/>
      <c r="AB408" s="44"/>
      <c r="AC408" s="44"/>
      <c r="AD408" s="44"/>
      <c r="AE408" s="85"/>
      <c r="AG408" s="131"/>
      <c r="AH408" s="44"/>
      <c r="AI408" s="44"/>
    </row>
    <row r="409" spans="26:35">
      <c r="Z409" s="44"/>
      <c r="AA409" s="44"/>
      <c r="AB409" s="44"/>
      <c r="AC409" s="44"/>
      <c r="AD409" s="44"/>
      <c r="AE409" s="85"/>
      <c r="AG409" s="131"/>
      <c r="AH409" s="44"/>
      <c r="AI409" s="44"/>
    </row>
    <row r="410" spans="26:35">
      <c r="Z410" s="44"/>
      <c r="AA410" s="44"/>
      <c r="AB410" s="44"/>
      <c r="AC410" s="44"/>
      <c r="AD410" s="44"/>
      <c r="AE410" s="85"/>
      <c r="AG410" s="131"/>
      <c r="AH410" s="44"/>
      <c r="AI410" s="44"/>
    </row>
    <row r="411" spans="26:35">
      <c r="Z411" s="44"/>
      <c r="AA411" s="44"/>
      <c r="AB411" s="44"/>
      <c r="AC411" s="44"/>
      <c r="AD411" s="44"/>
      <c r="AE411" s="85"/>
      <c r="AG411" s="131"/>
      <c r="AH411" s="44"/>
      <c r="AI411" s="44"/>
    </row>
    <row r="412" spans="26:35">
      <c r="Z412" s="44"/>
      <c r="AA412" s="44"/>
      <c r="AB412" s="44"/>
      <c r="AC412" s="44"/>
      <c r="AD412" s="44"/>
      <c r="AE412" s="85"/>
      <c r="AF412" s="44"/>
      <c r="AG412" s="44"/>
      <c r="AH412" s="44"/>
      <c r="AI412" s="44"/>
    </row>
    <row r="413" spans="26:35">
      <c r="Z413" s="44"/>
      <c r="AB413" s="44"/>
      <c r="AD413" s="44"/>
      <c r="AE413" s="132"/>
      <c r="AF413" s="67"/>
      <c r="AG413" s="44"/>
      <c r="AH413" s="44"/>
      <c r="AI413" s="44"/>
    </row>
    <row r="414" spans="26:35">
      <c r="Z414" s="44"/>
      <c r="AD414" s="44"/>
      <c r="AE414" s="132"/>
      <c r="AF414" s="67"/>
      <c r="AG414" s="44"/>
      <c r="AH414" s="44"/>
      <c r="AI414" s="44"/>
    </row>
    <row r="415" spans="26:35">
      <c r="AD415" s="44"/>
      <c r="AE415" s="132"/>
      <c r="AF415" s="67"/>
      <c r="AG415" s="44"/>
      <c r="AH415" s="44"/>
      <c r="AI415" s="44"/>
    </row>
    <row r="416" spans="26:35">
      <c r="AD416" s="44"/>
      <c r="AE416" s="85"/>
      <c r="AF416" s="44"/>
      <c r="AG416" s="44"/>
      <c r="AH416" s="44"/>
      <c r="AI416" s="44"/>
    </row>
  </sheetData>
  <dataConsolidate/>
  <mergeCells count="57">
    <mergeCell ref="G16:J16"/>
    <mergeCell ref="B17:J17"/>
    <mergeCell ref="L17:M17"/>
    <mergeCell ref="A3:M3"/>
    <mergeCell ref="A4:M4"/>
    <mergeCell ref="A5:M5"/>
    <mergeCell ref="B14:J14"/>
    <mergeCell ref="L14:M14"/>
    <mergeCell ref="B15:J15"/>
    <mergeCell ref="L15:M15"/>
    <mergeCell ref="B18:J18"/>
    <mergeCell ref="L18:M18"/>
    <mergeCell ref="B20:J20"/>
    <mergeCell ref="L20:M20"/>
    <mergeCell ref="B21:J21"/>
    <mergeCell ref="L21:M21"/>
    <mergeCell ref="B19:J19"/>
    <mergeCell ref="L19:M19"/>
    <mergeCell ref="B22:J22"/>
    <mergeCell ref="L22:M22"/>
    <mergeCell ref="B23:G23"/>
    <mergeCell ref="H23:J23"/>
    <mergeCell ref="L23:M23"/>
    <mergeCell ref="C25:C31"/>
    <mergeCell ref="D25:I31"/>
    <mergeCell ref="J25:L31"/>
    <mergeCell ref="W25:Y27"/>
    <mergeCell ref="B33:J33"/>
    <mergeCell ref="B34:J34"/>
    <mergeCell ref="B35:J35"/>
    <mergeCell ref="B39:J39"/>
    <mergeCell ref="D105:I105"/>
    <mergeCell ref="A55:M56"/>
    <mergeCell ref="A57:M58"/>
    <mergeCell ref="H67:J67"/>
    <mergeCell ref="D99:I99"/>
    <mergeCell ref="D100:I100"/>
    <mergeCell ref="D101:I101"/>
    <mergeCell ref="D103:I103"/>
    <mergeCell ref="B40:J40"/>
    <mergeCell ref="B41:J41"/>
    <mergeCell ref="B42:J42"/>
    <mergeCell ref="L45:M46"/>
    <mergeCell ref="B47:F47"/>
    <mergeCell ref="D122:I122"/>
    <mergeCell ref="E127:G127"/>
    <mergeCell ref="D130:I130"/>
    <mergeCell ref="D131:I131"/>
    <mergeCell ref="D115:I115"/>
    <mergeCell ref="D117:I117"/>
    <mergeCell ref="D118:I118"/>
    <mergeCell ref="D121:I121"/>
    <mergeCell ref="D109:I109"/>
    <mergeCell ref="D110:I110"/>
    <mergeCell ref="D112:I112"/>
    <mergeCell ref="D114:I114"/>
    <mergeCell ref="D106:I107"/>
  </mergeCells>
  <conditionalFormatting sqref="D25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K42">
    <cfRule type="cellIs" dxfId="5" priority="5" operator="equal">
      <formula>"NO"</formula>
    </cfRule>
    <cfRule type="cellIs" dxfId="4" priority="6" operator="equal">
      <formula>"YES"</formula>
    </cfRule>
  </conditionalFormatting>
  <dataValidations count="16">
    <dataValidation type="decimal" operator="greaterThanOrEqual" allowBlank="1" showInputMessage="1" showErrorMessage="1" sqref="K23" xr:uid="{F78DBBCD-FD85-4214-98ED-B003F13357F8}">
      <formula1>0</formula1>
    </dataValidation>
    <dataValidation type="custom" showInputMessage="1" showErrorMessage="1" errorTitle="Invalid Entry!" error="Enter values betwee 0 and 120 that is also divisible by 8." promptTitle="Additional Horizontal Blank " prompt="This field is only applicable for RB version 3. Valid entry is between 0 and 120 and divisible by 8. &quot;0&quot; value corresponds to Horizontal Blank of 80 Pixels and &quot;120&quot; corresponds to Horizontal Blank of 200." sqref="K21" xr:uid="{A06BC3B7-ED63-4671-B59B-5DA8AB34C67B}">
      <formula1>AND(IF(Additional_HBlank&gt;=0, TRUE,FALSE),IF(Additional_HBlank&lt;=120, TRUE,FALSE),MOD(Additional_HBlank,8)=0)</formula1>
    </dataValidation>
    <dataValidation type="list" allowBlank="1" showDropDown="1" showInputMessage="1" showErrorMessage="1" errorTitle="Invalid Entry!" error="Please enter 2 or 3 for reduced blank version." sqref="K18" xr:uid="{80E93DBE-C48D-426F-B7A0-7960808B0BD7}">
      <formula1>"2,3"</formula1>
    </dataValidation>
    <dataValidation type="whole" errorStyle="warning" showInputMessage="1" showErrorMessage="1" error="Non-standard target bits per pixel (fractional part)" sqref="K37" xr:uid="{C70B79AE-5939-4CCD-959C-18127061C34C}">
      <formula1>0</formula1>
      <formula2>16</formula2>
    </dataValidation>
    <dataValidation type="whole" errorStyle="warning" showInputMessage="1" showErrorMessage="1" error="Non-standard target bits per pixel (integer part) shall be between 0 - 16" sqref="K36" xr:uid="{F45A032A-5B01-442D-8F5C-BAA67BF13116}">
      <formula1>0</formula1>
      <formula2>24</formula2>
    </dataValidation>
    <dataValidation type="custom" errorStyle="warning" showInputMessage="1" showErrorMessage="1" error="Non-Standard Link Rate" sqref="K35" xr:uid="{877C69FC-F0A4-4E6A-8CC2-ACF72E5EBD38}">
      <formula1>OR( DPRate=1.62, DPRate=2.7, DPRate=5.4, DPRate=8.1, DPRate=10, DPRate=13.5, DPRate=20)</formula1>
    </dataValidation>
    <dataValidation type="list" allowBlank="1" showInputMessage="1" showErrorMessage="1" sqref="K34" xr:uid="{B422EEB4-72A4-4F06-B054-40AC823D0A38}">
      <formula1>"1,2,4"</formula1>
    </dataValidation>
    <dataValidation type="list" operator="equal" allowBlank="1" showInputMessage="1" showErrorMessage="1" sqref="K33" xr:uid="{9F31CFF5-9F3D-4D4C-9B0A-5E90B5A2AB03}">
      <formula1>"6,8,10,12,16,18,20,24,30,36,48"</formula1>
    </dataValidation>
    <dataValidation type="custom" showInputMessage="1" showErrorMessage="1" errorTitle="Invalid Entry!" error="Please enter Y or N (Yes/No)." promptTitle="Video Optimized Rate" prompt="This field should be set to &quot;Y&quot; when Frame Rate is 60 Hz, 30 Hz, 24 Hz to get the CVT reduced blank version 2 timing for 59.94 Hz, 29.97 Hz and 23.976 Hz respectively." sqref="K20" xr:uid="{3460CD72-739F-45CB-962E-8689CC8D846A}">
      <formula1>OR(K20="Y",K20="N")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6" xr:uid="{6251B529-E3B9-411E-AEF1-349E6B7FB930}">
      <formula1>0</formula1>
    </dataValidation>
    <dataValidation type="custom" showInputMessage="1" showErrorMessage="1" errorTitle="Invalid Entry!" error="Please enter Y or N (Yes/No)." sqref="K22" xr:uid="{87BC45CC-E86F-4FE1-B871-FCA8BF7B89F8}">
      <formula1>OR(K22="Y",K22="N")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D54417EE-9F22-46F9-87DC-2050F18A2C0E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16C9C77E-6897-45B7-845A-3D477157066E}">
      <formula1>0</formula1>
    </dataValidation>
    <dataValidation type="custom" showInputMessage="1" showErrorMessage="1" errorTitle="Invalid Entry!" error="CVT2.0 only supports reduced blank, Please enter Y (Yes)." sqref="K17" xr:uid="{6C50FA68-0D2B-4967-8E3E-426623467BD2}">
      <formula1>K17="Y"</formula1>
    </dataValidation>
    <dataValidation errorStyle="warning" showInputMessage="1" showErrorMessage="1" error="Non-Standard Link Rate" sqref="K39:K43 K48:L51 K52 K47" xr:uid="{4104611F-435F-4B43-B0C5-9EDA5996E0AE}"/>
    <dataValidation type="custom" showDropDown="1" showInputMessage="1" showErrorMessage="1" errorTitle="Invalid Entry!" error="Please enter Y or N for Alternate Minimum VBlank" sqref="K19" xr:uid="{3B5BFB6B-C8E2-4405-A938-C5F640B753F4}">
      <formula1>OR(K19="y",K19="n")</formula1>
    </dataValidation>
  </dataValidations>
  <printOptions horizontalCentered="1" verticalCentered="1"/>
  <pageMargins left="0.5" right="0.5" top="0.56000000000000005" bottom="0.56000000000000005" header="0.5" footer="0.5"/>
  <pageSetup scale="26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66C7-21E9-4297-A7E5-155AA6616C43}">
  <sheetPr>
    <pageSetUpPr fitToPage="1"/>
  </sheetPr>
  <dimension ref="A1:BF409"/>
  <sheetViews>
    <sheetView topLeftCell="F52" zoomScale="70" zoomScaleNormal="70" zoomScalePageLayoutView="70" workbookViewId="0">
      <selection activeCell="T78" sqref="T78"/>
    </sheetView>
  </sheetViews>
  <sheetFormatPr baseColWidth="10" defaultColWidth="8.83203125" defaultRowHeight="13"/>
  <cols>
    <col min="1" max="1" width="4.5" style="265" customWidth="1"/>
    <col min="2" max="2" width="21.5" style="265" customWidth="1"/>
    <col min="3" max="3" width="25.5" style="265" customWidth="1"/>
    <col min="4" max="4" width="31.5" style="265" customWidth="1"/>
    <col min="5" max="5" width="12.5" style="265" customWidth="1"/>
    <col min="6" max="6" width="42.5" style="265" customWidth="1"/>
    <col min="7" max="7" width="15.5" style="265" customWidth="1"/>
    <col min="8" max="8" width="20.5" style="265" customWidth="1"/>
    <col min="9" max="9" width="15.5" style="265" customWidth="1"/>
    <col min="10" max="10" width="70.33203125" style="265" customWidth="1"/>
    <col min="11" max="11" width="23.1640625" style="265" customWidth="1"/>
    <col min="12" max="12" width="34.5" style="265" customWidth="1"/>
    <col min="13" max="13" width="38.5" style="265" customWidth="1"/>
    <col min="14" max="14" width="6.5" style="265" customWidth="1"/>
    <col min="15" max="15" width="6.5" style="267" customWidth="1"/>
    <col min="16" max="16" width="34.5" style="270" customWidth="1"/>
    <col min="17" max="17" width="19.5" style="266" customWidth="1"/>
    <col min="18" max="18" width="6.5" style="269" customWidth="1"/>
    <col min="19" max="19" width="6.5" style="268" customWidth="1"/>
    <col min="20" max="20" width="34.5" style="265" customWidth="1"/>
    <col min="21" max="21" width="19.5" style="265" customWidth="1"/>
    <col min="22" max="22" width="6.5" style="265" customWidth="1"/>
    <col min="23" max="23" width="6.5" style="267" customWidth="1"/>
    <col min="24" max="24" width="55" style="265" customWidth="1"/>
    <col min="25" max="25" width="19.5" style="265" customWidth="1"/>
    <col min="26" max="27" width="6.5" style="265" customWidth="1"/>
    <col min="28" max="28" width="56.1640625" style="265" customWidth="1"/>
    <col min="29" max="29" width="16.1640625" style="265" customWidth="1"/>
    <col min="30" max="30" width="14.1640625" style="265" customWidth="1"/>
    <col min="31" max="31" width="16.5" style="266" customWidth="1"/>
    <col min="32" max="32" width="6.5" style="265" customWidth="1"/>
    <col min="33" max="33" width="9.5" style="265" customWidth="1"/>
    <col min="34" max="34" width="6.5" style="265" customWidth="1"/>
    <col min="35" max="35" width="12.5" style="265" customWidth="1"/>
    <col min="36" max="40" width="6.5" style="265" customWidth="1"/>
    <col min="41" max="41" width="10.1640625" style="265" customWidth="1"/>
    <col min="42" max="42" width="9.83203125" style="265" customWidth="1"/>
    <col min="43" max="43" width="12.1640625" style="265" customWidth="1"/>
    <col min="44" max="44" width="6.5" style="265" customWidth="1"/>
    <col min="45" max="45" width="9" style="265" customWidth="1"/>
    <col min="46" max="46" width="6.5" style="265" customWidth="1"/>
    <col min="47" max="47" width="9.5" style="265" customWidth="1"/>
    <col min="48" max="52" width="6.5" style="265" customWidth="1"/>
    <col min="53" max="16384" width="8.83203125" style="265"/>
  </cols>
  <sheetData>
    <row r="1" spans="1:58" ht="45">
      <c r="A1" s="533" t="s">
        <v>138</v>
      </c>
      <c r="B1" s="531"/>
      <c r="C1" s="532"/>
      <c r="D1" s="531"/>
      <c r="E1" s="531"/>
      <c r="F1" s="531"/>
      <c r="G1" s="531"/>
      <c r="H1" s="531"/>
      <c r="I1" s="531"/>
      <c r="J1" s="531"/>
      <c r="K1" s="531"/>
      <c r="L1" s="531"/>
      <c r="M1" s="531"/>
      <c r="R1" s="265"/>
      <c r="S1" s="267"/>
    </row>
    <row r="2" spans="1:58" ht="45">
      <c r="A2" s="533" t="s">
        <v>139</v>
      </c>
      <c r="B2" s="531"/>
      <c r="C2" s="532"/>
      <c r="D2" s="531"/>
      <c r="E2" s="531"/>
      <c r="F2" s="531"/>
      <c r="G2" s="531"/>
      <c r="H2" s="531"/>
      <c r="I2" s="531"/>
      <c r="J2" s="531"/>
      <c r="K2" s="531"/>
      <c r="L2" s="531"/>
      <c r="M2" s="531"/>
      <c r="R2" s="265"/>
      <c r="S2" s="267"/>
    </row>
    <row r="3" spans="1:58" ht="40" customHeight="1">
      <c r="A3" s="670" t="s">
        <v>310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R3" s="265"/>
      <c r="S3" s="267"/>
    </row>
    <row r="4" spans="1:58" ht="30" customHeight="1">
      <c r="A4" s="671" t="s">
        <v>326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R4" s="265"/>
      <c r="S4" s="267"/>
    </row>
    <row r="5" spans="1:58" ht="30" customHeight="1">
      <c r="A5" s="672" t="s">
        <v>257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R5" s="265"/>
      <c r="S5" s="267"/>
    </row>
    <row r="6" spans="1:58" s="347" customFormat="1" ht="16">
      <c r="O6" s="528"/>
      <c r="P6" s="530"/>
      <c r="Q6" s="529"/>
      <c r="S6" s="528"/>
      <c r="W6" s="528"/>
      <c r="AE6" s="529"/>
    </row>
    <row r="7" spans="1:58" s="347" customFormat="1" ht="16">
      <c r="O7" s="528"/>
      <c r="P7" s="530"/>
      <c r="Q7" s="529"/>
      <c r="S7" s="528"/>
      <c r="W7" s="527"/>
    </row>
    <row r="8" spans="1:58" s="347" customFormat="1" ht="16">
      <c r="O8" s="528"/>
      <c r="P8" s="530"/>
      <c r="Q8" s="529"/>
      <c r="S8" s="528"/>
      <c r="W8" s="527"/>
    </row>
    <row r="9" spans="1:58" ht="25" customHeight="1">
      <c r="A9" s="367" t="s">
        <v>172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524"/>
      <c r="R9" s="265"/>
      <c r="S9" s="267"/>
    </row>
    <row r="10" spans="1:58" ht="25" customHeight="1" thickBot="1">
      <c r="A10" s="526" t="s">
        <v>137</v>
      </c>
      <c r="B10" s="525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4"/>
      <c r="R10" s="265"/>
      <c r="S10" s="267"/>
    </row>
    <row r="11" spans="1:58" ht="25" customHeight="1" thickTop="1">
      <c r="A11" s="523"/>
      <c r="B11" s="363"/>
      <c r="C11" s="363"/>
      <c r="D11" s="363"/>
      <c r="E11" s="363"/>
      <c r="F11" s="363"/>
      <c r="G11" s="363"/>
      <c r="H11" s="363"/>
      <c r="I11" s="363"/>
      <c r="J11" s="522"/>
      <c r="K11" s="522"/>
      <c r="L11" s="480"/>
      <c r="M11" s="521"/>
      <c r="O11" s="513" t="s">
        <v>81</v>
      </c>
      <c r="P11" s="467"/>
      <c r="Q11" s="466"/>
      <c r="R11" s="265"/>
      <c r="S11" s="513" t="s">
        <v>157</v>
      </c>
      <c r="T11" s="498"/>
      <c r="U11" s="466"/>
      <c r="W11" s="513" t="s">
        <v>54</v>
      </c>
      <c r="X11" s="498"/>
      <c r="Y11" s="466"/>
      <c r="AA11" s="499" t="s">
        <v>135</v>
      </c>
      <c r="AB11" s="498"/>
      <c r="AC11" s="497"/>
      <c r="AE11" s="265"/>
      <c r="BF11" s="271"/>
    </row>
    <row r="12" spans="1:58" ht="25" customHeight="1">
      <c r="A12" s="328"/>
      <c r="B12" s="278"/>
      <c r="C12" s="278"/>
      <c r="D12" s="278"/>
      <c r="E12" s="278"/>
      <c r="F12" s="278"/>
      <c r="G12" s="278"/>
      <c r="H12" s="278"/>
      <c r="I12" s="278"/>
      <c r="J12" s="266"/>
      <c r="K12" s="266"/>
      <c r="M12" s="520"/>
      <c r="O12" s="519"/>
      <c r="Q12" s="454"/>
      <c r="R12" s="265"/>
      <c r="S12" s="519"/>
      <c r="U12" s="454"/>
      <c r="W12" s="413"/>
      <c r="X12" s="265" t="s">
        <v>302</v>
      </c>
      <c r="Y12" s="452">
        <f>K147</f>
        <v>460</v>
      </c>
      <c r="AA12" s="496"/>
      <c r="AC12" s="495"/>
      <c r="AE12" s="265"/>
      <c r="BF12" s="271"/>
    </row>
    <row r="13" spans="1:58" ht="25" customHeight="1" thickBot="1">
      <c r="A13" s="328"/>
      <c r="B13" s="278"/>
      <c r="C13" s="278"/>
      <c r="D13" s="278"/>
      <c r="E13" s="278"/>
      <c r="F13" s="278"/>
      <c r="G13" s="278"/>
      <c r="H13" s="278"/>
      <c r="I13" s="278"/>
      <c r="J13" s="266"/>
      <c r="K13" s="266"/>
      <c r="M13" s="520"/>
      <c r="O13" s="519"/>
      <c r="Q13" s="454"/>
      <c r="R13" s="265"/>
      <c r="S13" s="519"/>
      <c r="U13" s="454"/>
      <c r="W13" s="413"/>
      <c r="X13" s="271" t="s">
        <v>110</v>
      </c>
      <c r="Y13" s="452">
        <f>K145</f>
        <v>32</v>
      </c>
      <c r="AA13" s="496"/>
      <c r="AC13" s="495"/>
      <c r="AE13" s="265"/>
      <c r="BF13" s="271"/>
    </row>
    <row r="14" spans="1:58" ht="40" customHeight="1" thickTop="1" thickBot="1">
      <c r="A14" s="328"/>
      <c r="B14" s="620" t="s">
        <v>273</v>
      </c>
      <c r="C14" s="620"/>
      <c r="D14" s="620"/>
      <c r="E14" s="620"/>
      <c r="F14" s="620"/>
      <c r="G14" s="620"/>
      <c r="H14" s="620"/>
      <c r="I14" s="620"/>
      <c r="J14" s="647"/>
      <c r="K14" s="518">
        <v>640</v>
      </c>
      <c r="L14" s="673" t="str">
        <f>IF(H_PIXELS&lt;&gt;H_PIXELS_RND,"ERROR! - Not Divisible by "&amp;CELL_GRAN&amp;", rounded to Nearest Character Cell","")</f>
        <v/>
      </c>
      <c r="M14" s="674"/>
      <c r="O14" s="516"/>
      <c r="P14" s="517" t="s">
        <v>112</v>
      </c>
      <c r="Q14" s="452">
        <f>ROUNDDOWN(CELL_GRAN,0)</f>
        <v>8</v>
      </c>
      <c r="R14" s="265"/>
      <c r="S14" s="413"/>
      <c r="T14" s="267" t="s">
        <v>160</v>
      </c>
      <c r="U14" s="452">
        <f>K121</f>
        <v>550</v>
      </c>
      <c r="W14" s="413"/>
      <c r="X14" s="265" t="s">
        <v>111</v>
      </c>
      <c r="Y14" s="452">
        <f>K141 + IF(AND((RED_BLANK_RQD="y"),(RED_BLANK_VER=3)), 0, 0)</f>
        <v>160</v>
      </c>
      <c r="AA14" s="509">
        <v>1</v>
      </c>
      <c r="AB14" s="265" t="str">
        <f>IF(OR(
               H_PIXELS="",
               V_LINES="",
               MARGINS_RQD="",
AND(OR(RED_BLANK_RQD="N",
                                AND(RED_BLANK_RQD="Y",RED_BLANK_VER&lt;&gt;3)),
                        INT_RQD=""),
               IP_FREQ_RQD="",
               RED_BLANK_RQD="",
               AND(RED_BLANK_RQD="Y",
                         RED_BLANK_VER&lt;&gt;1,RED_BLANK_VER&lt;&gt;2,RED_BLANK_VER&lt;&gt;3)
              ),"ERROR!  Invalid Input Parameters","")</f>
        <v/>
      </c>
      <c r="AC14" s="495" t="str">
        <f>IF(OR(H_PIXELS="",V_LINES="",MARGINS_RQD="",INT_RQD="",IP_FREQ_RQD="",RED_BLANK_RQD=""),"Yes","")</f>
        <v/>
      </c>
      <c r="AE14" s="265"/>
      <c r="BF14" s="271"/>
    </row>
    <row r="15" spans="1:58" ht="40" customHeight="1" thickTop="1" thickBot="1">
      <c r="A15" s="328"/>
      <c r="B15" s="620" t="s">
        <v>271</v>
      </c>
      <c r="C15" s="620"/>
      <c r="D15" s="620"/>
      <c r="E15" s="620"/>
      <c r="F15" s="620"/>
      <c r="G15" s="620"/>
      <c r="H15" s="620"/>
      <c r="I15" s="620"/>
      <c r="J15" s="647"/>
      <c r="K15" s="518">
        <v>480</v>
      </c>
      <c r="L15" s="673" t="str">
        <f>IF((V_LINES/IF(INT_RQD="y",2,1))&lt;&gt;V_LINES_RND,"WARNING! - Rounded to Nearest Whole Line","")</f>
        <v/>
      </c>
      <c r="M15" s="674"/>
      <c r="O15" s="516"/>
      <c r="P15" s="517" t="s">
        <v>113</v>
      </c>
      <c r="Q15" s="452">
        <f>$K$102</f>
        <v>1.8</v>
      </c>
      <c r="R15" s="265"/>
      <c r="S15" s="413"/>
      <c r="T15" s="517" t="s">
        <v>108</v>
      </c>
      <c r="U15" s="452">
        <f>K115</f>
        <v>8</v>
      </c>
      <c r="W15" s="413"/>
      <c r="Y15" s="452"/>
      <c r="AA15" s="509">
        <v>2</v>
      </c>
      <c r="AB15" s="511" t="str">
        <f>IF(H_PIXELS&lt;&gt;H_PIXELS_RND,"ERROR!  Horizontal Pixel Not Divisible by "&amp;CELL_GRAN&amp;", Count Rounded to Nearest Character Cell","")</f>
        <v/>
      </c>
      <c r="AC15" s="495"/>
      <c r="AE15" s="265"/>
      <c r="BF15" s="271"/>
    </row>
    <row r="16" spans="1:58" ht="64.5" customHeight="1" thickTop="1" thickBot="1">
      <c r="A16" s="328"/>
      <c r="B16" s="620" t="s">
        <v>253</v>
      </c>
      <c r="C16" s="620"/>
      <c r="D16" s="620"/>
      <c r="E16" s="620"/>
      <c r="F16" s="620"/>
      <c r="G16" s="620"/>
      <c r="H16" s="620"/>
      <c r="I16" s="620"/>
      <c r="J16" s="647"/>
      <c r="K16" s="510" t="s">
        <v>1</v>
      </c>
      <c r="L16" s="651" t="s">
        <v>306</v>
      </c>
      <c r="M16" s="652"/>
      <c r="O16" s="516"/>
      <c r="P16" s="491" t="s">
        <v>242</v>
      </c>
      <c r="Q16" s="452">
        <f>ROUNDDOWN(MIN_V_FPORCH,0)</f>
        <v>3</v>
      </c>
      <c r="R16" s="265"/>
      <c r="S16" s="413"/>
      <c r="U16" s="452"/>
      <c r="W16" s="468" t="s">
        <v>82</v>
      </c>
      <c r="X16" s="498"/>
      <c r="Y16" s="466"/>
      <c r="AA16" s="509">
        <v>3</v>
      </c>
      <c r="AB16" s="265" t="str">
        <f>IF(V_LINES&lt;&gt;(V_LINES_RND*IF(INT_RQD="Y",2,1)),"WARNING!  Vertical Pixel Count Rounded To Nearest Integer  ","")</f>
        <v/>
      </c>
      <c r="AC16" s="495"/>
      <c r="AE16" s="265"/>
      <c r="BF16" s="271"/>
    </row>
    <row r="17" spans="1:58" ht="69" customHeight="1" thickTop="1" thickBot="1">
      <c r="A17" s="328"/>
      <c r="B17" s="620" t="s">
        <v>254</v>
      </c>
      <c r="C17" s="620"/>
      <c r="D17" s="620"/>
      <c r="E17" s="620"/>
      <c r="F17" s="620"/>
      <c r="G17" s="620"/>
      <c r="H17" s="620"/>
      <c r="I17" s="620"/>
      <c r="J17" s="647"/>
      <c r="K17" s="510" t="s">
        <v>1</v>
      </c>
      <c r="L17" s="651" t="s">
        <v>306</v>
      </c>
      <c r="M17" s="652"/>
      <c r="O17" s="516"/>
      <c r="P17" s="270" t="s">
        <v>261</v>
      </c>
      <c r="Q17" s="452">
        <v>350</v>
      </c>
      <c r="R17" s="265"/>
      <c r="S17" s="402"/>
      <c r="T17" s="446"/>
      <c r="U17" s="501"/>
      <c r="W17" s="413">
        <f>O46+1</f>
        <v>8</v>
      </c>
      <c r="X17" s="503" t="s">
        <v>124</v>
      </c>
      <c r="Y17" s="452"/>
      <c r="AA17" s="509">
        <v>4</v>
      </c>
      <c r="AB17" s="265" t="str">
        <f>IF(F55="Not Standard","WARNING!  Aspect Ratio Not CVT Standard","")</f>
        <v/>
      </c>
      <c r="AC17" s="495"/>
      <c r="AE17" s="265"/>
      <c r="BF17" s="271"/>
    </row>
    <row r="18" spans="1:58" ht="45.75" customHeight="1" thickTop="1" thickBot="1">
      <c r="A18" s="328"/>
      <c r="B18" s="508" t="s">
        <v>272</v>
      </c>
      <c r="C18" s="508"/>
      <c r="G18" s="648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0.25MHz. Actual frame rate is off target by 0 ppm.</v>
      </c>
      <c r="H18" s="649"/>
      <c r="I18" s="649"/>
      <c r="J18" s="650"/>
      <c r="K18" s="515">
        <v>60</v>
      </c>
      <c r="L18" s="514" t="s">
        <v>9</v>
      </c>
      <c r="M18" s="504"/>
      <c r="O18" s="513" t="s">
        <v>56</v>
      </c>
      <c r="P18" s="467"/>
      <c r="Q18" s="466"/>
      <c r="R18" s="265"/>
      <c r="S18" s="512" t="s">
        <v>82</v>
      </c>
      <c r="U18" s="454"/>
      <c r="W18" s="413"/>
      <c r="X18" s="271" t="s">
        <v>116</v>
      </c>
      <c r="Y18" s="452">
        <f>((1000000/V_FIELD_RATE_RQD)-RB_MIN_V_BLANK)/(V_LINES_RND+TOP_MARGIN+BOT_MARGIN)</f>
        <v>33.763888888888893</v>
      </c>
      <c r="AA18" s="509">
        <v>5</v>
      </c>
      <c r="AB18" s="265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AC18" s="495"/>
      <c r="AE18" s="265"/>
      <c r="BF18" s="271"/>
    </row>
    <row r="19" spans="1:58" ht="40" customHeight="1" thickTop="1" thickBot="1">
      <c r="A19" s="328"/>
      <c r="B19" s="620" t="s">
        <v>252</v>
      </c>
      <c r="C19" s="620"/>
      <c r="D19" s="620"/>
      <c r="E19" s="620"/>
      <c r="F19" s="620"/>
      <c r="G19" s="620"/>
      <c r="H19" s="620"/>
      <c r="I19" s="620"/>
      <c r="J19" s="647"/>
      <c r="K19" s="510" t="s">
        <v>169</v>
      </c>
      <c r="L19" s="673"/>
      <c r="M19" s="674"/>
      <c r="O19" s="413">
        <v>1</v>
      </c>
      <c r="P19" s="270" t="s">
        <v>115</v>
      </c>
      <c r="Q19" s="454"/>
      <c r="R19" s="265"/>
      <c r="S19" s="413">
        <f>O46+1</f>
        <v>8</v>
      </c>
      <c r="T19" s="503" t="s">
        <v>124</v>
      </c>
      <c r="U19" s="452"/>
      <c r="W19" s="413"/>
      <c r="Y19" s="454"/>
      <c r="AA19" s="509">
        <v>6</v>
      </c>
      <c r="AB19" s="511" t="str">
        <f>IF(AND(RED_BLANK_RQD="Y",IP_FREQ_RQD&lt;&gt;60),
       IF(RED_BLANK_VER=1,
            "Note: The standard Refresh Rate for CVT Reduced Blanking v1 is 60 Hz, but other refresh rates are permitted.",
            IF(RED_BLANK_VER=2,
                 "Note: The standard Refresh Rate for CVT Reduced Blanking v2 is 60 Hz, but other refresh rates are permitted.",
                 "")),
       "")</f>
        <v/>
      </c>
      <c r="AC19" s="495"/>
      <c r="AE19" s="265"/>
      <c r="BF19" s="271"/>
    </row>
    <row r="20" spans="1:58" ht="40" customHeight="1" thickTop="1" thickBot="1">
      <c r="A20" s="328"/>
      <c r="B20" s="620" t="s">
        <v>305</v>
      </c>
      <c r="C20" s="620"/>
      <c r="D20" s="620"/>
      <c r="E20" s="620"/>
      <c r="F20" s="620"/>
      <c r="G20" s="620"/>
      <c r="H20" s="620"/>
      <c r="I20" s="620"/>
      <c r="J20" s="647"/>
      <c r="K20" s="510">
        <v>1</v>
      </c>
      <c r="L20" s="651" t="s">
        <v>258</v>
      </c>
      <c r="M20" s="652"/>
      <c r="O20" s="413"/>
      <c r="P20" s="277" t="s">
        <v>114</v>
      </c>
      <c r="Q20" s="452">
        <f>IF(INT_RQD="y",IP_FREQ_RQD*2,IP_FREQ_RQD+(PixelClockPPMAdj/1000000)*IP_FREQ_RQD)</f>
        <v>60</v>
      </c>
      <c r="R20" s="265"/>
      <c r="S20" s="413"/>
      <c r="T20" s="271" t="s">
        <v>116</v>
      </c>
      <c r="U20" s="452">
        <f>((1/V_FIELD_RATE_RQD)-MIN_VSYNC_BP/1000000)/(V_LINES_RND+(2*TOP_MARGIN)+MIN_V_FPORCH_RND+INTERLACE)*1000000</f>
        <v>33.367839889579024</v>
      </c>
      <c r="W20" s="413">
        <f>W17+1</f>
        <v>9</v>
      </c>
      <c r="X20" s="271" t="s">
        <v>131</v>
      </c>
      <c r="Y20" s="452"/>
      <c r="AA20" s="509">
        <v>7</v>
      </c>
      <c r="AB20" s="265" t="str">
        <f>IF(AND(MARGINS_RQD="y",RED_BLANK_RQD="Y",OR(RED_BLANK_VER=2,RED_BLANK_VER=3)),"ERROR: Margins prohibited for Reduced Blanking v"&amp;RED_BLANK_VER,"")</f>
        <v/>
      </c>
      <c r="AC20" s="495"/>
      <c r="AE20" s="265"/>
      <c r="BF20" s="271"/>
    </row>
    <row r="21" spans="1:58" ht="75" customHeight="1" thickTop="1">
      <c r="A21" s="328"/>
      <c r="B21" s="508"/>
      <c r="C21" s="508"/>
      <c r="G21" s="507"/>
      <c r="H21" s="506"/>
      <c r="I21" s="506"/>
      <c r="J21" s="270"/>
      <c r="K21" s="505"/>
      <c r="M21" s="504"/>
      <c r="O21" s="413"/>
      <c r="P21" s="277"/>
      <c r="Q21" s="452"/>
      <c r="R21" s="265"/>
      <c r="S21" s="413"/>
      <c r="U21" s="454"/>
      <c r="W21" s="413"/>
      <c r="X21" s="503"/>
      <c r="Y21" s="452"/>
      <c r="AA21" s="509">
        <v>8</v>
      </c>
      <c r="AB21" s="265" t="str">
        <f>IF(AND(INT_RQD="y",RED_BLANK_RQD="Y",OR(RED_BLANK_VER=2,RED_BLANK_VER=3)),"ERROR: Interlaced prohibited for Reduced Blanking v"&amp;RED_BLANK_VER,"")</f>
        <v/>
      </c>
      <c r="AC21" s="495"/>
      <c r="AE21" s="265"/>
      <c r="BF21" s="271"/>
    </row>
    <row r="22" spans="1:58" ht="75" customHeight="1">
      <c r="A22" s="328"/>
      <c r="B22" s="492"/>
      <c r="C22" s="653" t="s">
        <v>71</v>
      </c>
      <c r="D22" s="655" t="str">
        <f>IF(AA32="","OK",IF(ISNUMBER(SEARCH("error",AA32)),AA32,"OK"))</f>
        <v>OK</v>
      </c>
      <c r="E22" s="656"/>
      <c r="F22" s="656"/>
      <c r="G22" s="656"/>
      <c r="H22" s="656"/>
      <c r="I22" s="656"/>
      <c r="J22" s="661" t="str">
        <f>IF(ISNUMBER(SEARCH("warning",AA32)),AA32,"")&amp;IF(ISNUMBER(SEARCH("warning",M96)),M96,"")</f>
        <v/>
      </c>
      <c r="K22" s="662"/>
      <c r="L22" s="663"/>
      <c r="M22" s="486"/>
      <c r="O22" s="413">
        <f>O19+1</f>
        <v>2</v>
      </c>
      <c r="P22" s="277" t="s">
        <v>75</v>
      </c>
      <c r="Q22" s="452"/>
      <c r="R22" s="265"/>
      <c r="S22" s="413">
        <f>S19+1</f>
        <v>9</v>
      </c>
      <c r="T22" s="265" t="s">
        <v>125</v>
      </c>
      <c r="U22" s="454"/>
      <c r="W22" s="413"/>
      <c r="X22" s="503"/>
      <c r="Y22" s="452"/>
      <c r="AA22" s="509">
        <v>9</v>
      </c>
      <c r="AB22" s="265" t="str">
        <f>""</f>
        <v/>
      </c>
      <c r="AC22" s="495"/>
      <c r="AE22" s="265"/>
      <c r="BF22" s="271"/>
    </row>
    <row r="23" spans="1:58" ht="75" customHeight="1">
      <c r="A23" s="328"/>
      <c r="B23" s="492"/>
      <c r="C23" s="654"/>
      <c r="D23" s="657"/>
      <c r="E23" s="658"/>
      <c r="F23" s="658"/>
      <c r="G23" s="658"/>
      <c r="H23" s="658"/>
      <c r="I23" s="658"/>
      <c r="J23" s="664"/>
      <c r="K23" s="665"/>
      <c r="L23" s="666"/>
      <c r="M23" s="486"/>
      <c r="O23" s="413"/>
      <c r="P23" s="277"/>
      <c r="Q23" s="452"/>
      <c r="R23" s="265"/>
      <c r="S23" s="413"/>
      <c r="U23" s="454"/>
      <c r="W23" s="413"/>
      <c r="X23" s="503"/>
      <c r="Y23" s="452"/>
      <c r="AA23" s="509">
        <v>10</v>
      </c>
      <c r="AB23" s="265" t="str">
        <f>""</f>
        <v/>
      </c>
      <c r="AC23" s="495"/>
      <c r="AE23" s="265"/>
      <c r="BF23" s="271"/>
    </row>
    <row r="24" spans="1:58" ht="75" customHeight="1">
      <c r="A24" s="328"/>
      <c r="B24" s="492"/>
      <c r="C24" s="654"/>
      <c r="D24" s="657"/>
      <c r="E24" s="658"/>
      <c r="F24" s="658"/>
      <c r="G24" s="658"/>
      <c r="H24" s="658"/>
      <c r="I24" s="658"/>
      <c r="J24" s="664"/>
      <c r="K24" s="665"/>
      <c r="L24" s="666"/>
      <c r="M24" s="486"/>
      <c r="O24" s="413"/>
      <c r="P24" s="277"/>
      <c r="Q24" s="452"/>
      <c r="R24" s="265"/>
      <c r="S24" s="413"/>
      <c r="U24" s="454"/>
      <c r="W24" s="413"/>
      <c r="X24" s="271" t="s">
        <v>107</v>
      </c>
      <c r="Y24" s="452">
        <f>ROUNDDOWN(RB_MIN_V_BLANK/RB_H_PERIOD_EST,0)+1</f>
        <v>14</v>
      </c>
      <c r="AA24" s="509">
        <v>11</v>
      </c>
      <c r="AB24" s="265" t="str">
        <f>""</f>
        <v/>
      </c>
      <c r="AC24" s="495"/>
      <c r="AE24" s="265"/>
      <c r="BF24" s="271"/>
    </row>
    <row r="25" spans="1:58" ht="25" customHeight="1" thickBot="1">
      <c r="A25" s="328"/>
      <c r="B25" s="492"/>
      <c r="C25" s="654"/>
      <c r="D25" s="657"/>
      <c r="E25" s="658"/>
      <c r="F25" s="658"/>
      <c r="G25" s="658"/>
      <c r="H25" s="658"/>
      <c r="I25" s="658"/>
      <c r="J25" s="664"/>
      <c r="K25" s="665"/>
      <c r="L25" s="666"/>
      <c r="M25" s="486"/>
      <c r="O25" s="413"/>
      <c r="P25" s="277"/>
      <c r="Q25" s="452"/>
      <c r="R25" s="265"/>
      <c r="S25" s="413"/>
      <c r="U25" s="454"/>
      <c r="W25" s="413"/>
      <c r="X25" s="265" t="s">
        <v>55</v>
      </c>
      <c r="Y25" s="454">
        <f>RB_MIN_V_BLANK/RB_H_PERIOD_EST</f>
        <v>13.62402303578774</v>
      </c>
      <c r="AA25" s="502">
        <v>12</v>
      </c>
      <c r="AB25" s="446" t="str">
        <f>IF(AND(RED_BLANK_RQD="Y",OR(RED_BLANK_VER=2,RED_BLANK_VER=3)),"WARNING! Use CVTr2.0 generator for latest Reduced Blanking v"&amp;RED_BLANK_VER&amp;" mandates","")</f>
        <v/>
      </c>
      <c r="AC25" s="501"/>
      <c r="AE25" s="265"/>
      <c r="BF25" s="271"/>
    </row>
    <row r="26" spans="1:58" ht="25" customHeight="1">
      <c r="A26" s="328"/>
      <c r="B26" s="492"/>
      <c r="C26" s="654"/>
      <c r="D26" s="657"/>
      <c r="E26" s="658"/>
      <c r="F26" s="658"/>
      <c r="G26" s="658"/>
      <c r="H26" s="658"/>
      <c r="I26" s="658"/>
      <c r="J26" s="664"/>
      <c r="K26" s="665"/>
      <c r="L26" s="666"/>
      <c r="M26" s="500"/>
      <c r="O26" s="489"/>
      <c r="P26" s="488" t="s">
        <v>97</v>
      </c>
      <c r="Q26" s="472">
        <f>ROUNDDOWN(H_PIXELS/CELL_GRAN_RND,0)*CELL_GRAN_RND</f>
        <v>640</v>
      </c>
      <c r="R26" s="265"/>
      <c r="S26" s="413"/>
      <c r="T26" s="271" t="s">
        <v>158</v>
      </c>
      <c r="U26" s="493">
        <f>ROUNDDOWN((MIN_VSYNC_BP/CRT_H_PERIOD_EST),0)+1</f>
        <v>17</v>
      </c>
      <c r="V26" s="271"/>
      <c r="W26" s="413"/>
      <c r="Y26" s="454"/>
      <c r="AE26" s="265"/>
      <c r="BF26" s="271"/>
    </row>
    <row r="27" spans="1:58" ht="25" customHeight="1">
      <c r="A27" s="328"/>
      <c r="B27" s="492"/>
      <c r="C27" s="654"/>
      <c r="D27" s="657"/>
      <c r="E27" s="658"/>
      <c r="F27" s="658"/>
      <c r="G27" s="658"/>
      <c r="H27" s="658"/>
      <c r="I27" s="658"/>
      <c r="J27" s="664"/>
      <c r="K27" s="665"/>
      <c r="L27" s="666"/>
      <c r="M27" s="486"/>
      <c r="O27" s="413"/>
      <c r="Q27" s="452"/>
      <c r="R27" s="265"/>
      <c r="S27" s="413"/>
      <c r="T27" s="271" t="s">
        <v>8</v>
      </c>
      <c r="U27" s="454">
        <f>((MIN_VSYNC_BP/CRT_H_PERIOD_EST))</f>
        <v>16.482936918304031</v>
      </c>
      <c r="W27" s="413">
        <f>W20+1</f>
        <v>10</v>
      </c>
      <c r="X27" s="265" t="s">
        <v>143</v>
      </c>
      <c r="Y27" s="454"/>
      <c r="AA27" s="266"/>
      <c r="AE27" s="265"/>
      <c r="BF27" s="271"/>
    </row>
    <row r="28" spans="1:58" ht="25" customHeight="1">
      <c r="A28" s="328"/>
      <c r="B28" s="492"/>
      <c r="C28" s="654"/>
      <c r="D28" s="659"/>
      <c r="E28" s="660"/>
      <c r="F28" s="660"/>
      <c r="G28" s="660"/>
      <c r="H28" s="660"/>
      <c r="I28" s="660"/>
      <c r="J28" s="667"/>
      <c r="K28" s="668"/>
      <c r="L28" s="669"/>
      <c r="M28" s="486"/>
      <c r="O28" s="413">
        <f>O22+1</f>
        <v>3</v>
      </c>
      <c r="P28" s="270" t="s">
        <v>76</v>
      </c>
      <c r="Q28" s="452"/>
      <c r="R28" s="265"/>
      <c r="S28" s="413"/>
      <c r="T28" s="271" t="s">
        <v>105</v>
      </c>
      <c r="U28" s="454">
        <f>IF(CRT_EST_V_BPORCH&lt;(V_SYNC+MIN_V_BPORCH),V_SYNC+MIN_V_BPORCH,CRT_EST_V_BPORCH)</f>
        <v>17</v>
      </c>
      <c r="V28" s="271"/>
      <c r="W28" s="413"/>
      <c r="X28" s="265" t="s">
        <v>251</v>
      </c>
      <c r="Y28" s="454">
        <f>RB_MIN_V_BPORCH</f>
        <v>7</v>
      </c>
      <c r="AA28" s="266"/>
      <c r="AE28" s="265"/>
      <c r="BF28" s="271"/>
    </row>
    <row r="29" spans="1:58" ht="25" customHeight="1" thickBot="1">
      <c r="A29" s="328"/>
      <c r="B29" s="492"/>
      <c r="C29" s="269"/>
      <c r="D29" s="491"/>
      <c r="E29" s="491"/>
      <c r="F29" s="491"/>
      <c r="G29" s="491"/>
      <c r="H29" s="491"/>
      <c r="I29" s="491"/>
      <c r="J29" s="491"/>
      <c r="K29" s="491"/>
      <c r="L29" s="491"/>
      <c r="M29" s="486"/>
      <c r="O29" s="413"/>
      <c r="P29" s="277" t="s">
        <v>98</v>
      </c>
      <c r="Q29" s="472">
        <f>(IF(MARGINS_RQD="Y",(ROUNDDOWN( (H_PIXELS_RND*MARGIN_PER/100/CELL_GRAN_RND),0))*CELL_GRAN_RND,0))</f>
        <v>0</v>
      </c>
      <c r="R29" s="265"/>
      <c r="S29" s="413"/>
      <c r="T29" s="271"/>
      <c r="U29" s="454"/>
      <c r="V29" s="271"/>
      <c r="W29" s="413"/>
      <c r="X29" s="265" t="s">
        <v>156</v>
      </c>
      <c r="Y29" s="454">
        <f>RB_V_FPORCH+V_SYNC_RND+Y28</f>
        <v>14</v>
      </c>
      <c r="AA29" s="266"/>
      <c r="AE29" s="265"/>
      <c r="BF29" s="271"/>
    </row>
    <row r="30" spans="1:58" ht="25" customHeight="1" thickTop="1" thickBot="1">
      <c r="A30" s="328"/>
      <c r="B30" s="620" t="s">
        <v>296</v>
      </c>
      <c r="C30" s="620"/>
      <c r="D30" s="620"/>
      <c r="E30" s="620"/>
      <c r="F30" s="620"/>
      <c r="G30" s="620"/>
      <c r="H30" s="620"/>
      <c r="I30" s="620"/>
      <c r="J30" s="647"/>
      <c r="K30" s="494">
        <v>24</v>
      </c>
      <c r="L30" s="487" t="s">
        <v>175</v>
      </c>
      <c r="M30" s="486"/>
      <c r="O30" s="413"/>
      <c r="P30" s="277"/>
      <c r="Q30" s="472"/>
      <c r="R30" s="265"/>
      <c r="S30" s="413"/>
      <c r="T30" s="271"/>
      <c r="U30" s="454"/>
      <c r="V30" s="271"/>
      <c r="W30" s="413"/>
      <c r="X30" s="265" t="s">
        <v>144</v>
      </c>
      <c r="Y30" s="454">
        <f>IF(VBI_LINES&lt;RB_MIN_VBI,RB_MIN_VBI,VBI_LINES)</f>
        <v>14</v>
      </c>
      <c r="AA30" s="499" t="s">
        <v>136</v>
      </c>
      <c r="AB30" s="498"/>
      <c r="AC30" s="497"/>
      <c r="AE30" s="265"/>
      <c r="BF30" s="271"/>
    </row>
    <row r="31" spans="1:58" ht="25" customHeight="1" thickTop="1" thickBot="1">
      <c r="A31" s="328"/>
      <c r="B31" s="620" t="s">
        <v>297</v>
      </c>
      <c r="C31" s="620"/>
      <c r="D31" s="620"/>
      <c r="E31" s="620"/>
      <c r="F31" s="620"/>
      <c r="G31" s="620"/>
      <c r="H31" s="620"/>
      <c r="I31" s="620"/>
      <c r="J31" s="647"/>
      <c r="K31" s="494">
        <v>4</v>
      </c>
      <c r="L31" s="487" t="s">
        <v>173</v>
      </c>
      <c r="M31" s="486"/>
      <c r="O31" s="413"/>
      <c r="P31" s="277" t="s">
        <v>99</v>
      </c>
      <c r="Q31" s="472">
        <f>(IF(MARGINS_RQD="Y",(ROUNDDOWN( (H_PIXELS_RND*MARGIN_PER/100/CELL_GRAN_RND),0))*CELL_GRAN_RND,0))</f>
        <v>0</v>
      </c>
      <c r="R31" s="265"/>
      <c r="S31" s="413">
        <f>S22+1</f>
        <v>10</v>
      </c>
      <c r="T31" s="265" t="s">
        <v>126</v>
      </c>
      <c r="U31" s="454"/>
      <c r="W31" s="413"/>
      <c r="Y31" s="454"/>
      <c r="AA31" s="496"/>
      <c r="AC31" s="495"/>
      <c r="AE31" s="265"/>
      <c r="BF31" s="271"/>
    </row>
    <row r="32" spans="1:58" ht="25" customHeight="1" thickTop="1" thickBot="1">
      <c r="A32" s="328"/>
      <c r="B32" s="620" t="s">
        <v>298</v>
      </c>
      <c r="C32" s="620"/>
      <c r="D32" s="620"/>
      <c r="E32" s="620"/>
      <c r="F32" s="620"/>
      <c r="G32" s="620"/>
      <c r="H32" s="620"/>
      <c r="I32" s="620"/>
      <c r="J32" s="647"/>
      <c r="K32" s="490">
        <v>8.1</v>
      </c>
      <c r="L32" s="487" t="s">
        <v>174</v>
      </c>
      <c r="M32" s="486"/>
      <c r="O32" s="413"/>
      <c r="P32" s="277"/>
      <c r="Q32" s="472"/>
      <c r="R32" s="265"/>
      <c r="S32" s="413"/>
      <c r="T32" s="265" t="s">
        <v>117</v>
      </c>
      <c r="U32" s="472">
        <f>V_SYNC_BP-V_SYNC_RND</f>
        <v>13</v>
      </c>
      <c r="W32" s="413">
        <f>W27+1</f>
        <v>11</v>
      </c>
      <c r="X32" s="271" t="s">
        <v>127</v>
      </c>
      <c r="Y32" s="452"/>
      <c r="AA32" s="641" t="str">
        <f>IF(AB14&lt;&gt;"",AB14 &amp; CHAR(10),"") &amp; IF(AB15&lt;&gt;"",AB15 &amp; CHAR(10),"") &amp; IF(AB16&lt;&gt;"",AB16 &amp; CHAR(10),"") &amp; IF(AB17&lt;&gt;"",AB17 &amp; CHAR(10),"") &amp; IF(AB18&lt;&gt;"",AB18 &amp; CHAR(10),"") &amp; IF(AB19&lt;&gt;"",AB19 &amp; CHAR(10),"")&amp; IF(AB20&lt;&gt;"",AB20 &amp; CHAR(10),"")&amp; IF(AB21&lt;&gt;"",AB21 &amp; CHAR(10),"")&amp; IF(AB22&lt;&gt;"",AB22 &amp; CHAR(10),"")&amp; IF(AB23&lt;&gt;"",AB23 &amp; CHAR(10),"")&amp; IF(AB24&lt;&gt;"",AB24 &amp; CHAR(10),"")&amp; IF(AB25&lt;&gt;"",AB25 &amp; CHAR(10),"")</f>
        <v/>
      </c>
      <c r="AB32" s="629"/>
      <c r="AC32" s="642"/>
      <c r="AE32" s="265"/>
      <c r="BF32" s="271"/>
    </row>
    <row r="33" spans="1:58" ht="25" customHeight="1" thickTop="1" thickBot="1">
      <c r="A33" s="328"/>
      <c r="B33" s="492" t="s">
        <v>299</v>
      </c>
      <c r="C33" s="269"/>
      <c r="D33" s="491"/>
      <c r="E33" s="491"/>
      <c r="F33" s="491"/>
      <c r="G33" s="491"/>
      <c r="H33" s="491"/>
      <c r="I33" s="491"/>
      <c r="J33" s="491"/>
      <c r="K33" s="490">
        <v>16</v>
      </c>
      <c r="L33" s="487"/>
      <c r="M33" s="486"/>
      <c r="O33" s="413">
        <f>O28+1</f>
        <v>4</v>
      </c>
      <c r="P33" s="277" t="s">
        <v>77</v>
      </c>
      <c r="Q33" s="472"/>
      <c r="R33" s="265"/>
      <c r="S33" s="413"/>
      <c r="U33" s="454"/>
      <c r="W33" s="413"/>
      <c r="X33" s="273" t="s">
        <v>10</v>
      </c>
      <c r="Y33" s="452">
        <f>ACT_VBI_LINES+V_LINES_RND+TOP_MARGIN+BOT_MARGIN+INTERLACE</f>
        <v>494</v>
      </c>
      <c r="AA33" s="643"/>
      <c r="AB33" s="629"/>
      <c r="AC33" s="642"/>
      <c r="AE33" s="265"/>
      <c r="BF33" s="271"/>
    </row>
    <row r="34" spans="1:58" ht="39.75" customHeight="1" thickTop="1" thickBot="1">
      <c r="A34" s="328"/>
      <c r="B34" s="492" t="s">
        <v>300</v>
      </c>
      <c r="C34" s="269"/>
      <c r="D34" s="491"/>
      <c r="E34" s="491"/>
      <c r="F34" s="491"/>
      <c r="G34" s="491"/>
      <c r="H34" s="491"/>
      <c r="I34" s="491"/>
      <c r="J34" s="491"/>
      <c r="K34" s="490">
        <v>0</v>
      </c>
      <c r="L34" s="487"/>
      <c r="M34" s="486"/>
      <c r="O34" s="413"/>
      <c r="P34" s="270" t="s">
        <v>100</v>
      </c>
      <c r="Q34" s="472">
        <f>H_PIXELS_RND+LEFT_MARGIN+RIGHT_MARGIN</f>
        <v>640</v>
      </c>
      <c r="R34" s="265"/>
      <c r="S34" s="413">
        <f>S31+1</f>
        <v>11</v>
      </c>
      <c r="T34" s="271" t="s">
        <v>127</v>
      </c>
      <c r="U34" s="452"/>
      <c r="W34" s="413"/>
      <c r="Y34" s="454"/>
      <c r="AA34" s="644"/>
      <c r="AB34" s="645"/>
      <c r="AC34" s="646"/>
      <c r="AE34" s="265"/>
      <c r="BF34" s="271"/>
    </row>
    <row r="35" spans="1:58" ht="39.75" customHeight="1" thickTop="1" thickBot="1">
      <c r="A35" s="328"/>
      <c r="B35" s="620" t="s">
        <v>178</v>
      </c>
      <c r="C35" s="620"/>
      <c r="D35" s="620"/>
      <c r="E35" s="620"/>
      <c r="F35" s="620"/>
      <c r="G35" s="620"/>
      <c r="H35" s="620"/>
      <c r="I35" s="620"/>
      <c r="J35" s="621"/>
      <c r="K35" s="139">
        <f>DSCBitsPerPixel+(DSCBitsPerPixel_Frac/16)</f>
        <v>16</v>
      </c>
      <c r="L35" s="487"/>
      <c r="M35" s="486"/>
      <c r="O35" s="413"/>
      <c r="Q35" s="472"/>
      <c r="R35" s="265"/>
      <c r="S35" s="413"/>
      <c r="T35" s="273" t="s">
        <v>10</v>
      </c>
      <c r="U35" s="493">
        <f>V_LINES_RND+TOP_MARGIN+BOT_MARGIN+V_SYNC_BP+INTERLACE+MIN_V_FPORCH_RND</f>
        <v>500</v>
      </c>
      <c r="W35" s="413">
        <f>W32+1</f>
        <v>12</v>
      </c>
      <c r="X35" s="271" t="s">
        <v>130</v>
      </c>
      <c r="Y35" s="452"/>
      <c r="AA35" s="266"/>
      <c r="AE35" s="265"/>
      <c r="BF35" s="271"/>
    </row>
    <row r="36" spans="1:58" ht="39.75" customHeight="1" thickTop="1" thickBot="1">
      <c r="A36" s="328"/>
      <c r="B36" s="620" t="s">
        <v>176</v>
      </c>
      <c r="C36" s="620"/>
      <c r="D36" s="620"/>
      <c r="E36" s="620"/>
      <c r="F36" s="620"/>
      <c r="G36" s="620"/>
      <c r="H36" s="620"/>
      <c r="I36" s="620"/>
      <c r="J36" s="621"/>
      <c r="K36" s="139">
        <f>ROUND(ACT_PIXEL_FREQ*(IF((TargetDSCBitsPerPixel &lt;= 0), DPBitsPerPixel, TargetDSCBitsPerPixel)/1000),3)</f>
        <v>0.376</v>
      </c>
      <c r="L36" s="487" t="s">
        <v>174</v>
      </c>
      <c r="M36" s="486"/>
      <c r="O36" s="413">
        <f>O33+1</f>
        <v>5</v>
      </c>
      <c r="P36" s="277" t="s">
        <v>78</v>
      </c>
      <c r="Q36" s="472"/>
      <c r="R36" s="265"/>
      <c r="S36" s="413"/>
      <c r="T36" s="271"/>
      <c r="U36" s="452"/>
      <c r="W36" s="413"/>
      <c r="X36" s="271" t="s">
        <v>15</v>
      </c>
      <c r="Y36" s="452">
        <f>RB_H_BLANK+TOTAL_ACTIVE_PIXELS</f>
        <v>800</v>
      </c>
      <c r="AA36" s="266"/>
      <c r="AE36" s="265"/>
      <c r="BF36" s="271"/>
    </row>
    <row r="37" spans="1:58" ht="39.75" customHeight="1" thickTop="1" thickBot="1">
      <c r="A37" s="328"/>
      <c r="B37" s="620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x1.281 for the timing</v>
      </c>
      <c r="C37" s="620"/>
      <c r="D37" s="620"/>
      <c r="E37" s="620"/>
      <c r="F37" s="620"/>
      <c r="G37" s="620"/>
      <c r="H37" s="620"/>
      <c r="I37" s="620"/>
      <c r="J37" s="621"/>
      <c r="K37" s="139">
        <f>ROUND(ACT_PIXEL_FREQ*(IF((TargetDSCBitsPerPixel &lt;= 0), DPBitsPerPixel, TargetDSCBitsPerPixel/IF(DPRate&lt;10, (1-(2.4/100)),1))/(IF(DPRate&lt;10, 8/10,0.9671)*1000)),3)</f>
        <v>0.48199999999999998</v>
      </c>
      <c r="L37" s="487" t="s">
        <v>174</v>
      </c>
      <c r="M37" s="486"/>
      <c r="O37" s="489"/>
      <c r="P37" s="488" t="s">
        <v>101</v>
      </c>
      <c r="Q37" s="472">
        <f>IF(INT_RQD="y",ROUNDDOWN(V_LINES/2,0),ROUNDDOWN(V_LINES,0))</f>
        <v>480</v>
      </c>
      <c r="R37" s="265"/>
      <c r="S37" s="413">
        <f>S34+1</f>
        <v>12</v>
      </c>
      <c r="T37" s="265" t="s">
        <v>128</v>
      </c>
      <c r="U37" s="454"/>
      <c r="W37" s="413"/>
      <c r="Y37" s="454"/>
      <c r="AA37" s="266"/>
      <c r="AE37" s="265"/>
      <c r="BF37" s="271"/>
    </row>
    <row r="38" spans="1:58" ht="39.75" customHeight="1" thickTop="1" thickBot="1">
      <c r="A38" s="328"/>
      <c r="B38" s="620" t="str">
        <f>"Is the timing supported with "&amp;DPLanes&amp;" Lanes @ "&amp;DPRate&amp;" Gbps DisplayPort Link Configuration?"</f>
        <v>Is the timing supported with 4 Lanes @ 8.1 Gbps DisplayPort Link Configuration?</v>
      </c>
      <c r="C38" s="620"/>
      <c r="D38" s="620"/>
      <c r="E38" s="620"/>
      <c r="F38" s="620"/>
      <c r="G38" s="620"/>
      <c r="H38" s="620"/>
      <c r="I38" s="620"/>
      <c r="J38" s="621"/>
      <c r="K38" s="140" t="str">
        <f>IF(RequiredRawDPLinkBW&lt;=(DPLanes*DPRate),"YES","NO")</f>
        <v>YES</v>
      </c>
      <c r="L38" s="487"/>
      <c r="M38" s="486"/>
      <c r="O38" s="489"/>
      <c r="P38" s="488"/>
      <c r="Q38" s="472"/>
      <c r="R38" s="265"/>
      <c r="S38" s="413"/>
      <c r="T38" s="271" t="s">
        <v>106</v>
      </c>
      <c r="U38" s="452">
        <f>C_PRIME-(M_PRIME*H_PERIOD_EST/1000)</f>
        <v>19.87083333333333</v>
      </c>
      <c r="W38" s="413"/>
      <c r="Y38" s="454"/>
      <c r="AA38" s="266"/>
      <c r="AE38" s="265"/>
      <c r="BF38" s="271"/>
    </row>
    <row r="39" spans="1:58" ht="39.75" customHeight="1" thickTop="1">
      <c r="A39" s="328"/>
      <c r="M39" s="486"/>
      <c r="O39" s="489">
        <f>O36+1</f>
        <v>6</v>
      </c>
      <c r="P39" s="488" t="s">
        <v>79</v>
      </c>
      <c r="Q39" s="472"/>
      <c r="R39" s="265"/>
      <c r="S39" s="413"/>
      <c r="T39" s="271"/>
      <c r="U39" s="452"/>
      <c r="W39" s="413">
        <f>W35+1</f>
        <v>13</v>
      </c>
      <c r="X39" s="265" t="s">
        <v>118</v>
      </c>
      <c r="Y39" s="452"/>
      <c r="AA39" s="266"/>
      <c r="AE39" s="265"/>
      <c r="BF39" s="271"/>
    </row>
    <row r="40" spans="1:58" ht="39.75" customHeight="1" thickBot="1">
      <c r="A40" s="380"/>
      <c r="J40" s="269"/>
      <c r="M40" s="485"/>
      <c r="O40" s="489"/>
      <c r="P40" s="488"/>
      <c r="Q40" s="472"/>
      <c r="R40" s="265"/>
      <c r="S40" s="413"/>
      <c r="T40" s="271"/>
      <c r="U40" s="452"/>
      <c r="W40" s="413"/>
      <c r="Y40" s="452"/>
      <c r="AA40" s="266"/>
      <c r="AE40" s="265"/>
      <c r="BF40" s="271"/>
    </row>
    <row r="41" spans="1:58" ht="39.75" customHeight="1" thickTop="1">
      <c r="A41" s="480"/>
      <c r="B41" s="484"/>
      <c r="C41" s="483"/>
      <c r="D41" s="480"/>
      <c r="E41" s="480"/>
      <c r="F41" s="480"/>
      <c r="G41" s="480"/>
      <c r="H41" s="480"/>
      <c r="I41" s="480"/>
      <c r="J41" s="480"/>
      <c r="K41" s="482"/>
      <c r="L41" s="481"/>
      <c r="M41" s="480"/>
      <c r="O41" s="413"/>
      <c r="P41" s="277" t="s">
        <v>102</v>
      </c>
      <c r="Q41" s="472">
        <f>(IF(MARGINS_RQD="Y",ROUNDDOWN((MARGIN_PER/100*V_LINES_RND),0),0))</f>
        <v>0</v>
      </c>
      <c r="R41" s="265"/>
      <c r="S41" s="413">
        <f>S37+1</f>
        <v>13</v>
      </c>
      <c r="T41" s="271" t="s">
        <v>129</v>
      </c>
      <c r="U41" s="452"/>
      <c r="W41" s="413"/>
      <c r="X41" s="265" t="str">
        <f>"Rounded up to " &amp; CLOCK_STEP &amp; "MHz ="</f>
        <v>Rounded up to 0.25MHz =</v>
      </c>
      <c r="Y41" s="452">
        <f>CLOCK_STEP*ROUNDUP(((V_FIELD_RATE_RQD*RB_TOTAL_V_LINES*RB_H_TOTAL/1000000)/CLOCK_STEP),CLOCK_STEP)</f>
        <v>23.75</v>
      </c>
      <c r="AA41" s="266"/>
      <c r="AE41" s="265"/>
      <c r="BF41" s="271"/>
    </row>
    <row r="42" spans="1:58" ht="39.75" customHeight="1">
      <c r="B42" s="478"/>
      <c r="C42" s="477"/>
      <c r="K42" s="476"/>
      <c r="L42" s="475"/>
      <c r="O42" s="413"/>
      <c r="P42" s="277"/>
      <c r="Q42" s="472"/>
      <c r="R42" s="265"/>
      <c r="S42" s="413"/>
      <c r="T42" s="271"/>
      <c r="U42" s="452"/>
      <c r="W42" s="413"/>
      <c r="X42" s="265" t="str">
        <f>"Rounded down to " &amp; CLOCK_STEP &amp; "MHz ="</f>
        <v>Rounded down to 0.25MHz =</v>
      </c>
      <c r="Y42" s="452">
        <f>CLOCK_STEP*ROUNDDOWN(((V_FIELD_RATE_RQD*RB_H_TOTAL*RB_TOTAL_V_LINES/1000000)/CLOCK_STEP),CLOCK_STEP)</f>
        <v>23.5</v>
      </c>
      <c r="AA42" s="266"/>
      <c r="AE42" s="265"/>
      <c r="BF42" s="271"/>
    </row>
    <row r="43" spans="1:58" ht="39.75" customHeight="1">
      <c r="A43" s="628" t="str">
        <f>"Format: " &amp; F48 &amp;" x " &amp; F49 &amp; " @ " &amp; IP_FREQ_RQD &amp; " Hz" &amp; IF(RED_BLANK_RQD="Y"," - Reduced Blanking","")</f>
        <v>Format: 640 x 480 @ 60 Hz - Reduced Blanking</v>
      </c>
      <c r="B43" s="629"/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O43" s="413"/>
      <c r="P43" s="277"/>
      <c r="Q43" s="472"/>
      <c r="R43" s="265"/>
      <c r="S43" s="413"/>
      <c r="T43" s="271"/>
      <c r="U43" s="452"/>
      <c r="W43" s="413"/>
      <c r="X43" s="265" t="s">
        <v>119</v>
      </c>
      <c r="Y43" s="479">
        <f>V_FIELD_RATE_RQD*RB_TOTAL_V_LINES*RB_H_TOTAL/1000000</f>
        <v>23.712</v>
      </c>
      <c r="AA43" s="266"/>
      <c r="AE43" s="265"/>
      <c r="BF43" s="271"/>
    </row>
    <row r="44" spans="1:58" ht="25" customHeight="1">
      <c r="A44" s="629"/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O44" s="413"/>
      <c r="P44" s="277" t="s">
        <v>103</v>
      </c>
      <c r="Q44" s="472">
        <f>(IF(MARGINS_RQD="Y",ROUNDDOWN((MARGIN_PER/100*V_LINES_RND),0),0))</f>
        <v>0</v>
      </c>
      <c r="R44" s="265"/>
      <c r="S44" s="413"/>
      <c r="T44" s="271" t="s">
        <v>179</v>
      </c>
      <c r="U44" s="472">
        <f>IF(IDEAL_DUTY_CYCLE&lt;20,(ROUNDDOWN((TOTAL_ACTIVE_PIXELS*20/(100-20)/(2*CELL_GRAN_RND)),0))*(2*CELL_GRAN_RND),(ROUNDDOWN((TOTAL_ACTIVE_PIXELS*IDEAL_DUTY_CYCLE/(100-IDEAL_DUTY_CYCLE)/(2*CELL_GRAN_RND)),0))*(2*CELL_GRAN_RND))</f>
        <v>160</v>
      </c>
      <c r="W44" s="413"/>
      <c r="X44" s="265" t="s">
        <v>181</v>
      </c>
      <c r="Y44" s="453">
        <f>IF(RED_BLANK_VER=3,Y41,Y42)</f>
        <v>23.5</v>
      </c>
      <c r="AA44" s="266"/>
      <c r="AE44" s="265"/>
      <c r="BF44" s="271"/>
    </row>
    <row r="45" spans="1:58" ht="25" customHeight="1">
      <c r="A45" s="625" t="str">
        <f>"VESA CVT Name: " &amp; IF(D22="OK",TEXT(H_PIXELS_RND*V_LINES_RND/1000000,"0.00")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0.31M3-R</v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O45" s="413"/>
      <c r="Q45" s="452"/>
      <c r="R45" s="265"/>
      <c r="S45" s="413"/>
      <c r="T45" s="271"/>
      <c r="U45" s="452"/>
      <c r="W45" s="413">
        <f>W39+1</f>
        <v>14</v>
      </c>
      <c r="X45" s="265" t="s">
        <v>120</v>
      </c>
      <c r="Y45" s="452"/>
      <c r="AA45" s="266"/>
      <c r="AE45" s="265"/>
      <c r="BF45" s="271"/>
    </row>
    <row r="46" spans="1:58" ht="25" customHeight="1" thickBot="1">
      <c r="A46" s="626"/>
      <c r="B46" s="626"/>
      <c r="C46" s="626"/>
      <c r="D46" s="626"/>
      <c r="E46" s="626"/>
      <c r="F46" s="626"/>
      <c r="G46" s="626"/>
      <c r="H46" s="626"/>
      <c r="I46" s="626"/>
      <c r="J46" s="626"/>
      <c r="K46" s="626"/>
      <c r="L46" s="626"/>
      <c r="M46" s="626"/>
      <c r="O46" s="413">
        <f>O39+1</f>
        <v>7</v>
      </c>
      <c r="P46" s="277" t="s">
        <v>80</v>
      </c>
      <c r="Q46" s="452"/>
      <c r="R46" s="265"/>
      <c r="S46" s="413">
        <f>S41+1</f>
        <v>14</v>
      </c>
      <c r="T46" s="271" t="s">
        <v>130</v>
      </c>
      <c r="U46" s="452"/>
      <c r="W46" s="413"/>
      <c r="X46" s="271" t="s">
        <v>121</v>
      </c>
      <c r="Y46" s="452">
        <f>1000*RB_PIXEL_FREQ/RB_H_TOTAL</f>
        <v>29.375</v>
      </c>
      <c r="AA46" s="266"/>
      <c r="AB46" s="271"/>
      <c r="AE46" s="265"/>
      <c r="BF46" s="271"/>
    </row>
    <row r="47" spans="1:58" ht="25" customHeight="1" thickTop="1" thickBot="1">
      <c r="A47" s="464"/>
      <c r="B47" s="461"/>
      <c r="C47" s="461"/>
      <c r="D47" s="461"/>
      <c r="E47" s="461"/>
      <c r="F47" s="461"/>
      <c r="G47" s="461"/>
      <c r="H47" s="463"/>
      <c r="I47" s="461"/>
      <c r="J47" s="462"/>
      <c r="K47" s="461"/>
      <c r="L47" s="461"/>
      <c r="M47" s="460"/>
      <c r="O47" s="402"/>
      <c r="P47" s="474" t="s">
        <v>104</v>
      </c>
      <c r="Q47" s="473">
        <f>(IF(INT_RQD="y",0.5,0))</f>
        <v>0</v>
      </c>
      <c r="R47" s="265"/>
      <c r="S47" s="413"/>
      <c r="T47" s="271" t="s">
        <v>15</v>
      </c>
      <c r="U47" s="472">
        <f>TOTAL_ACTIVE_PIXELS+CRT_H_BLANK</f>
        <v>800</v>
      </c>
      <c r="W47" s="413"/>
      <c r="Y47" s="454"/>
      <c r="AA47" s="266"/>
      <c r="AE47" s="265"/>
      <c r="BF47" s="271"/>
    </row>
    <row r="48" spans="1:58" ht="25" customHeight="1" thickBot="1">
      <c r="A48" s="387"/>
      <c r="B48" s="344" t="s">
        <v>2</v>
      </c>
      <c r="C48" s="337"/>
      <c r="D48" s="337"/>
      <c r="E48" s="337"/>
      <c r="F48" s="426">
        <f>H_PIXELS_RND</f>
        <v>640</v>
      </c>
      <c r="G48" s="343" t="s">
        <v>3</v>
      </c>
      <c r="H48" s="448"/>
      <c r="J48" s="429"/>
      <c r="K48" s="341"/>
      <c r="L48" s="337"/>
      <c r="M48" s="352"/>
      <c r="O48" s="471"/>
      <c r="P48" s="470"/>
      <c r="Q48" s="469"/>
      <c r="R48" s="265"/>
      <c r="S48" s="413"/>
      <c r="U48" s="452"/>
      <c r="W48" s="413">
        <f>W45+1</f>
        <v>15</v>
      </c>
      <c r="X48" s="265" t="s">
        <v>122</v>
      </c>
      <c r="Y48" s="454"/>
      <c r="AA48" s="266"/>
      <c r="AB48" s="389"/>
      <c r="AC48" s="389"/>
      <c r="AE48" s="265"/>
      <c r="BF48" s="271"/>
    </row>
    <row r="49" spans="1:58" ht="25" customHeight="1">
      <c r="A49" s="387"/>
      <c r="B49" s="344" t="s">
        <v>4</v>
      </c>
      <c r="C49" s="337"/>
      <c r="D49" s="459" t="str">
        <f>(IF(INT_RQD="y","PER FRAME:",""))</f>
        <v/>
      </c>
      <c r="E49" s="459" t="str">
        <f>(IF(INT_RQD="y","PER FRAME:",""))</f>
        <v/>
      </c>
      <c r="F49" s="426">
        <f>IF(INT_RQD="y",2*V_LINES_RND,V_LINES_RND)</f>
        <v>480</v>
      </c>
      <c r="G49" s="343" t="s">
        <v>5</v>
      </c>
      <c r="H49" s="448"/>
      <c r="I49" s="459" t="str">
        <f>(IF(INT_RQD="y","PER FIELD:",""))</f>
        <v/>
      </c>
      <c r="J49" s="329" t="str">
        <f>(IF(INT_RQD="y",V_LINES_RND,""))</f>
        <v/>
      </c>
      <c r="K49" s="343" t="str">
        <f>(IF($K$17="y","LINES",""))</f>
        <v/>
      </c>
      <c r="L49" s="337"/>
      <c r="M49" s="352"/>
      <c r="O49" s="468" t="s">
        <v>57</v>
      </c>
      <c r="P49" s="467"/>
      <c r="Q49" s="466"/>
      <c r="R49" s="265"/>
      <c r="S49" s="465">
        <f>S46+1</f>
        <v>15</v>
      </c>
      <c r="T49" s="265" t="s">
        <v>118</v>
      </c>
      <c r="U49" s="454"/>
      <c r="V49" s="271"/>
      <c r="W49" s="413"/>
      <c r="X49" s="271" t="s">
        <v>133</v>
      </c>
      <c r="Y49" s="452">
        <f>1000*RB_H_FREQ/RB_TOTAL_V_LINES</f>
        <v>59.463562753036435</v>
      </c>
      <c r="AA49" s="266"/>
      <c r="AB49" s="451"/>
      <c r="AC49" s="451"/>
      <c r="AD49" s="389"/>
      <c r="AE49" s="265"/>
      <c r="BF49" s="271"/>
    </row>
    <row r="50" spans="1:58" ht="25" customHeight="1">
      <c r="A50" s="387"/>
      <c r="B50" s="344" t="s">
        <v>6</v>
      </c>
      <c r="C50" s="337"/>
      <c r="D50" s="337"/>
      <c r="E50" s="337"/>
      <c r="F50" s="458">
        <f>ACT_H_FREQ</f>
        <v>29.375</v>
      </c>
      <c r="G50" s="343" t="s">
        <v>7</v>
      </c>
      <c r="H50" s="442"/>
      <c r="I50" s="337"/>
      <c r="J50" s="429"/>
      <c r="K50" s="341"/>
      <c r="L50" s="337"/>
      <c r="M50" s="352"/>
      <c r="O50" s="413"/>
      <c r="Q50" s="454"/>
      <c r="R50" s="265"/>
      <c r="S50" s="413"/>
      <c r="T50" s="265" t="str">
        <f>"Rounded down to " &amp; COARSE_CLOCK_STEP &amp; "MHz ="</f>
        <v>Rounded down to 0.25MHz =</v>
      </c>
      <c r="U50" s="453">
        <f>COARSE_CLOCK_STEP*ROUNDDOWN((CRT_H_TOTAL/CRT_H_PERIOD_EST)/COARSE_CLOCK_STEP,0)</f>
        <v>23.75</v>
      </c>
      <c r="V50" s="271"/>
      <c r="W50" s="413"/>
      <c r="Y50" s="454"/>
      <c r="AA50" s="266"/>
      <c r="AB50" s="451"/>
      <c r="AC50" s="451"/>
      <c r="AD50" s="389"/>
      <c r="AE50" s="265"/>
      <c r="BF50" s="271"/>
    </row>
    <row r="51" spans="1:58" ht="25" customHeight="1">
      <c r="A51" s="387"/>
      <c r="B51" s="344" t="s">
        <v>51</v>
      </c>
      <c r="C51" s="337"/>
      <c r="D51" s="459" t="str">
        <f>(IF(INT_RQD="y","FRAME RATE:",""))</f>
        <v/>
      </c>
      <c r="E51" s="459" t="str">
        <f>(IF(INT_RQD="y","FRAME RATE:",""))</f>
        <v/>
      </c>
      <c r="F51" s="458">
        <f>ACT_FRAME_RATE</f>
        <v>59.463562753036435</v>
      </c>
      <c r="G51" s="343" t="s">
        <v>9</v>
      </c>
      <c r="H51" s="442"/>
      <c r="I51" s="459" t="str">
        <f>(IF(INT_RQD="y","FIELD RATE:",""))</f>
        <v/>
      </c>
      <c r="J51" s="425" t="str">
        <f>(IF(INT_RQD="y",ACT_FIELD_RATE,""))</f>
        <v/>
      </c>
      <c r="K51" s="337" t="str">
        <f>(IF($K$17="y","Hz",""))</f>
        <v/>
      </c>
      <c r="L51" s="337"/>
      <c r="M51" s="352"/>
      <c r="O51" s="413" t="s">
        <v>83</v>
      </c>
      <c r="Q51" s="454"/>
      <c r="R51" s="265"/>
      <c r="S51" s="413"/>
      <c r="T51" s="265" t="s">
        <v>119</v>
      </c>
      <c r="U51" s="453">
        <f>CRT_H_TOTAL/CRT_H_PERIOD_EST</f>
        <v>23.97518097207859</v>
      </c>
      <c r="V51" s="271"/>
      <c r="W51" s="413">
        <f>W48+1</f>
        <v>16</v>
      </c>
      <c r="X51" s="271" t="s">
        <v>123</v>
      </c>
      <c r="Y51" s="452"/>
      <c r="AA51" s="266"/>
      <c r="AB51" s="451"/>
      <c r="AC51" s="389"/>
      <c r="AD51" s="389"/>
      <c r="AE51" s="265"/>
      <c r="BF51" s="271"/>
    </row>
    <row r="52" spans="1:58" ht="25" customHeight="1">
      <c r="A52" s="387"/>
      <c r="B52" s="344" t="s">
        <v>11</v>
      </c>
      <c r="C52" s="337"/>
      <c r="D52" s="337"/>
      <c r="E52" s="337"/>
      <c r="F52" s="458">
        <f>ACT_PIXEL_FREQ</f>
        <v>23.5</v>
      </c>
      <c r="G52" s="343" t="s">
        <v>12</v>
      </c>
      <c r="H52" s="442"/>
      <c r="I52" s="337"/>
      <c r="J52" s="426">
        <v>1</v>
      </c>
      <c r="K52" s="337" t="s">
        <v>3</v>
      </c>
      <c r="L52" s="337"/>
      <c r="M52" s="352"/>
      <c r="O52" s="413"/>
      <c r="P52" s="270" t="s">
        <v>84</v>
      </c>
      <c r="Q52" s="453">
        <f>IF(RED_BLANK_RQD="Y",RB_H_PERIOD_EST,CRT_H_PERIOD_EST)</f>
        <v>33.763888888888893</v>
      </c>
      <c r="R52" s="265"/>
      <c r="S52" s="413"/>
      <c r="U52" s="454"/>
      <c r="V52" s="271"/>
      <c r="W52" s="413"/>
      <c r="X52" s="271" t="s">
        <v>134</v>
      </c>
      <c r="Y52" s="452">
        <f>(IF(INT_RQD="y",RB_FIELD_RATE/2,RB_FIELD_RATE))</f>
        <v>59.463562753036435</v>
      </c>
      <c r="AA52" s="266"/>
      <c r="AB52" s="451"/>
      <c r="AC52" s="389"/>
      <c r="AD52" s="389"/>
      <c r="AE52" s="265"/>
      <c r="BF52" s="271"/>
    </row>
    <row r="53" spans="1:58" ht="25" customHeight="1" thickBot="1">
      <c r="A53" s="387"/>
      <c r="B53" s="344" t="s">
        <v>13</v>
      </c>
      <c r="C53" s="337"/>
      <c r="D53" s="337"/>
      <c r="E53" s="337"/>
      <c r="F53" s="458">
        <f>CELL_GRAN_RND*1000/ACT_PIXEL_FREQ</f>
        <v>340.42553191489361</v>
      </c>
      <c r="G53" s="337" t="s">
        <v>14</v>
      </c>
      <c r="H53" s="442"/>
      <c r="I53" s="337"/>
      <c r="J53" s="426">
        <f>CELL_GRAN_RND</f>
        <v>8</v>
      </c>
      <c r="K53" s="337" t="s">
        <v>3</v>
      </c>
      <c r="L53" s="337"/>
      <c r="M53" s="352"/>
      <c r="O53" s="413"/>
      <c r="Q53" s="454"/>
      <c r="R53" s="265"/>
      <c r="S53" s="413">
        <f>S49+1</f>
        <v>16</v>
      </c>
      <c r="T53" s="265" t="s">
        <v>120</v>
      </c>
      <c r="U53" s="452"/>
      <c r="W53" s="402"/>
      <c r="X53" s="446"/>
      <c r="Y53" s="400"/>
      <c r="AA53" s="266"/>
      <c r="AB53" s="451"/>
      <c r="AC53" s="389"/>
      <c r="AD53" s="389"/>
      <c r="AE53" s="265"/>
      <c r="BF53" s="271"/>
    </row>
    <row r="54" spans="1:58" ht="25" customHeight="1">
      <c r="A54" s="387"/>
      <c r="B54" s="344" t="s">
        <v>16</v>
      </c>
      <c r="C54" s="337"/>
      <c r="D54" s="337"/>
      <c r="E54" s="337"/>
      <c r="F54" s="458" t="str">
        <f>(IF(INT_RQD="y","INTERLACED", "NON-INT"))</f>
        <v>NON-INT</v>
      </c>
      <c r="G54" s="343"/>
      <c r="H54" s="457"/>
      <c r="I54" s="455"/>
      <c r="J54" s="456"/>
      <c r="K54" s="455"/>
      <c r="L54" s="337"/>
      <c r="M54" s="352"/>
      <c r="O54" s="413" t="s">
        <v>60</v>
      </c>
      <c r="Q54" s="454"/>
      <c r="R54" s="265"/>
      <c r="S54" s="413"/>
      <c r="T54" s="271" t="s">
        <v>121</v>
      </c>
      <c r="U54" s="452">
        <f>1000*CRT_PIXEL_FREQ/CRT_H_TOTAL</f>
        <v>29.6875</v>
      </c>
      <c r="AA54" s="266"/>
      <c r="AB54" s="451"/>
      <c r="AC54" s="389"/>
      <c r="AD54" s="389"/>
      <c r="AE54" s="265"/>
      <c r="BF54" s="271"/>
    </row>
    <row r="55" spans="1:58" ht="25" customHeight="1">
      <c r="A55" s="387"/>
      <c r="B55" s="344" t="s">
        <v>72</v>
      </c>
      <c r="C55" s="337"/>
      <c r="D55" s="337"/>
      <c r="E55" s="337"/>
      <c r="F55" s="450" t="str">
        <f>IF(F48=CELL_GRAN_RND*INT((F49*4/3)/CELL_GRAN_RND),"4:3",
IF(F48=CELL_GRAN_RND*INT((F49*16/9)/CELL_GRAN_RND),"16:9",
IF(F48=CELL_GRAN_RND*INT((F49*16/10)/CELL_GRAN_RND),"16:10",
IF(F48=CELL_GRAN_RND*INT((F49*5/4)/CELL_GRAN_RND),"5:4",
IF(F48=CELL_GRAN_RND*INT((F49*15/9)/CELL_GRAN_RND),"15:9","Not Standard")))))</f>
        <v>4:3</v>
      </c>
      <c r="G55" s="449"/>
      <c r="H55" s="627" t="str">
        <f>IF(ASPECT_RATIO="Not Standard","WARNING! - Aspect Ratio = "&amp;H_PIXELS/GCD(H_PIXELS,V_LINES)&amp;":"&amp;V_LINES/GCD(H_PIXELS,V_LINES)&amp;".  Not a Standard Aspect Ratio","")</f>
        <v/>
      </c>
      <c r="I55" s="627"/>
      <c r="J55" s="627"/>
      <c r="K55" s="447"/>
      <c r="L55" s="337"/>
      <c r="M55" s="352"/>
      <c r="O55" s="413"/>
      <c r="P55" s="270" t="s">
        <v>85</v>
      </c>
      <c r="Q55" s="453">
        <f>IF(RED_BLANK_RQD="y",RB_H_FREQ,CRT_H_FREQ)</f>
        <v>29.375</v>
      </c>
      <c r="R55" s="265"/>
      <c r="S55" s="413"/>
      <c r="U55" s="454"/>
      <c r="AA55" s="266"/>
      <c r="AB55" s="451"/>
      <c r="AC55" s="389"/>
      <c r="AD55" s="389"/>
      <c r="AE55" s="265"/>
      <c r="BF55" s="271"/>
    </row>
    <row r="56" spans="1:58" ht="25" customHeight="1">
      <c r="A56" s="387"/>
      <c r="B56" s="344" t="s">
        <v>147</v>
      </c>
      <c r="C56" s="337"/>
      <c r="D56" s="337"/>
      <c r="E56" s="337"/>
      <c r="F56" s="450" t="str">
        <f>IF(RED_BLANK_RQD="y","POSITIVE","NEGATIVE")</f>
        <v>POSITIVE</v>
      </c>
      <c r="G56" s="449"/>
      <c r="H56" s="448"/>
      <c r="I56" s="447"/>
      <c r="J56" s="429"/>
      <c r="K56" s="447"/>
      <c r="L56" s="337"/>
      <c r="M56" s="352"/>
      <c r="O56" s="413" t="s">
        <v>59</v>
      </c>
      <c r="Q56" s="453"/>
      <c r="R56" s="265"/>
      <c r="S56" s="413">
        <f>S53+1</f>
        <v>17</v>
      </c>
      <c r="T56" s="265" t="s">
        <v>122</v>
      </c>
      <c r="U56" s="454"/>
      <c r="AA56" s="266"/>
      <c r="AB56" s="451"/>
      <c r="AC56" s="389"/>
      <c r="AD56" s="389"/>
      <c r="AE56" s="265"/>
      <c r="BF56" s="271"/>
    </row>
    <row r="57" spans="1:58" ht="25" customHeight="1">
      <c r="A57" s="387"/>
      <c r="B57" s="344" t="s">
        <v>148</v>
      </c>
      <c r="C57" s="337"/>
      <c r="D57" s="337"/>
      <c r="E57" s="337"/>
      <c r="F57" s="450" t="str">
        <f>IF(RED_BLANK_RQD="y","NEGATIVE","POSITIVE")</f>
        <v>NEGATIVE</v>
      </c>
      <c r="G57" s="449"/>
      <c r="H57" s="448"/>
      <c r="I57" s="447"/>
      <c r="J57" s="429"/>
      <c r="K57" s="447"/>
      <c r="L57" s="337"/>
      <c r="M57" s="352"/>
      <c r="O57" s="413"/>
      <c r="P57" s="270" t="s">
        <v>132</v>
      </c>
      <c r="Q57" s="453">
        <f>IF(RED_BLANK_RQD="y",RB_FIELD_RATE,CRT_FIELD_RATE)</f>
        <v>59.463562753036435</v>
      </c>
      <c r="R57" s="265"/>
      <c r="S57" s="413"/>
      <c r="T57" s="271" t="s">
        <v>133</v>
      </c>
      <c r="U57" s="452">
        <f>1000*CRT_H_FREQ/CRT_TOTAL_V_LINES</f>
        <v>59.375</v>
      </c>
      <c r="X57" s="389"/>
      <c r="Y57" s="441"/>
      <c r="AA57" s="266"/>
      <c r="AB57" s="451"/>
      <c r="AC57" s="389"/>
      <c r="AD57" s="389"/>
      <c r="AE57" s="265"/>
      <c r="BF57" s="271"/>
    </row>
    <row r="58" spans="1:58" ht="25" customHeight="1">
      <c r="A58" s="387"/>
      <c r="B58" s="344" t="s">
        <v>240</v>
      </c>
      <c r="C58" s="409"/>
      <c r="D58" s="409"/>
      <c r="E58" s="409"/>
      <c r="F58" s="408"/>
      <c r="G58" s="445"/>
      <c r="H58" s="444"/>
      <c r="I58" s="409"/>
      <c r="J58" s="444"/>
      <c r="K58" s="409"/>
      <c r="L58" s="409"/>
      <c r="M58" s="421"/>
      <c r="O58" s="413"/>
      <c r="P58" s="270" t="s">
        <v>86</v>
      </c>
      <c r="Q58" s="453">
        <f>IF(RED_BLANK_RQD="y",RB_FRAME_RATE,CRT_FRAME_RATE)</f>
        <v>59.463562753036435</v>
      </c>
      <c r="R58" s="265"/>
      <c r="S58" s="413"/>
      <c r="U58" s="454"/>
      <c r="X58" s="389"/>
      <c r="Y58" s="389"/>
      <c r="AB58" s="451"/>
      <c r="AC58" s="389"/>
      <c r="AD58" s="389"/>
      <c r="AE58" s="265"/>
      <c r="BF58" s="271"/>
    </row>
    <row r="59" spans="1:58" ht="25" customHeight="1">
      <c r="A59" s="399"/>
      <c r="B59" s="443"/>
      <c r="C59" s="337"/>
      <c r="D59" s="337"/>
      <c r="E59" s="337"/>
      <c r="F59" s="386"/>
      <c r="G59" s="343"/>
      <c r="H59" s="442"/>
      <c r="I59" s="337"/>
      <c r="J59" s="429"/>
      <c r="K59" s="337"/>
      <c r="L59" s="337"/>
      <c r="M59" s="352"/>
      <c r="O59" s="413" t="s">
        <v>58</v>
      </c>
      <c r="Q59" s="453"/>
      <c r="R59" s="265"/>
      <c r="S59" s="413">
        <f>S56+1</f>
        <v>18</v>
      </c>
      <c r="T59" s="271" t="s">
        <v>123</v>
      </c>
      <c r="U59" s="452"/>
      <c r="X59" s="389"/>
      <c r="Y59" s="389"/>
      <c r="AB59" s="451"/>
      <c r="AC59" s="389"/>
      <c r="AD59" s="389"/>
      <c r="AE59" s="265"/>
      <c r="BF59" s="271"/>
    </row>
    <row r="60" spans="1:58" ht="25" customHeight="1">
      <c r="A60" s="387"/>
      <c r="B60" s="344" t="s">
        <v>41</v>
      </c>
      <c r="C60" s="337"/>
      <c r="D60" s="337"/>
      <c r="E60" s="337"/>
      <c r="F60" s="386">
        <f>TOTAL_PIXELS/ACT_PIXEL_FREQ</f>
        <v>34.042553191489361</v>
      </c>
      <c r="G60" s="384" t="s">
        <v>19</v>
      </c>
      <c r="H60" s="426">
        <f>TOTAL_PIXELS/CELL_GRAN_RND</f>
        <v>100</v>
      </c>
      <c r="I60" s="337" t="s">
        <v>20</v>
      </c>
      <c r="J60" s="425">
        <f>TOTAL_PIXELS</f>
        <v>800</v>
      </c>
      <c r="K60" s="338" t="s">
        <v>3</v>
      </c>
      <c r="L60" s="430"/>
      <c r="M60" s="352"/>
      <c r="O60" s="413"/>
      <c r="P60" s="270" t="s">
        <v>87</v>
      </c>
      <c r="Q60" s="453">
        <f>IF(RED_BLANK_RQD="y",RB_PIXEL_FREQ,CRT_PIXEL_FREQ)</f>
        <v>23.5</v>
      </c>
      <c r="R60" s="265"/>
      <c r="S60" s="413"/>
      <c r="T60" s="271" t="s">
        <v>134</v>
      </c>
      <c r="U60" s="452">
        <f>(IF(INT_RQD="y",CRT_FIELD_RATE/2,CRT_FIELD_RATE))</f>
        <v>59.375</v>
      </c>
      <c r="X60" s="389"/>
      <c r="Y60" s="389"/>
      <c r="AB60" s="389"/>
      <c r="AC60" s="389"/>
      <c r="AD60" s="389"/>
      <c r="AE60" s="265"/>
      <c r="BF60" s="271"/>
    </row>
    <row r="61" spans="1:58" ht="25" customHeight="1" thickBot="1">
      <c r="A61" s="387"/>
      <c r="B61" s="344" t="s">
        <v>42</v>
      </c>
      <c r="C61" s="337"/>
      <c r="D61" s="337"/>
      <c r="E61" s="337"/>
      <c r="F61" s="386">
        <f>H_PIXELS_RND/ACT_PIXEL_FREQ</f>
        <v>27.23404255319149</v>
      </c>
      <c r="G61" s="384" t="s">
        <v>19</v>
      </c>
      <c r="H61" s="426">
        <f>H_PIXELS_RND/CELL_GRAN_RND</f>
        <v>80</v>
      </c>
      <c r="I61" s="337" t="s">
        <v>20</v>
      </c>
      <c r="J61" s="425">
        <f>H_PIXELS_RND</f>
        <v>640</v>
      </c>
      <c r="K61" s="338" t="s">
        <v>3</v>
      </c>
      <c r="L61" s="430"/>
      <c r="M61" s="352"/>
      <c r="O61" s="413"/>
      <c r="Q61" s="412"/>
      <c r="R61" s="265"/>
      <c r="S61" s="402"/>
      <c r="T61" s="446"/>
      <c r="U61" s="400"/>
      <c r="X61" s="389"/>
      <c r="Y61" s="389"/>
      <c r="AB61" s="389"/>
      <c r="AC61" s="389"/>
      <c r="AD61" s="389"/>
      <c r="AE61" s="265"/>
      <c r="BF61" s="271"/>
    </row>
    <row r="62" spans="1:58" ht="25" customHeight="1">
      <c r="A62" s="411"/>
      <c r="B62" s="410"/>
      <c r="C62" s="409"/>
      <c r="D62" s="409"/>
      <c r="E62" s="409"/>
      <c r="F62" s="408"/>
      <c r="G62" s="406"/>
      <c r="H62" s="440"/>
      <c r="I62" s="409"/>
      <c r="J62" s="424"/>
      <c r="K62" s="423"/>
      <c r="L62" s="439"/>
      <c r="M62" s="421"/>
      <c r="O62" s="413" t="s">
        <v>61</v>
      </c>
      <c r="Q62" s="412"/>
      <c r="R62" s="265"/>
      <c r="S62" s="267"/>
      <c r="V62" s="271"/>
      <c r="X62" s="389"/>
      <c r="Y62" s="389"/>
      <c r="AB62" s="389"/>
      <c r="AC62" s="441"/>
      <c r="AD62" s="389"/>
      <c r="AE62" s="265"/>
      <c r="BF62" s="271"/>
    </row>
    <row r="63" spans="1:58" ht="25" customHeight="1">
      <c r="A63" s="399"/>
      <c r="B63" s="398"/>
      <c r="C63" s="397"/>
      <c r="D63" s="397"/>
      <c r="E63" s="397"/>
      <c r="F63" s="438"/>
      <c r="G63" s="437"/>
      <c r="H63" s="436"/>
      <c r="I63" s="397"/>
      <c r="J63" s="435"/>
      <c r="K63" s="434"/>
      <c r="L63" s="433"/>
      <c r="M63" s="432"/>
      <c r="O63" s="413"/>
      <c r="P63" s="270" t="s">
        <v>88</v>
      </c>
      <c r="Q63" s="412">
        <f>IF(RED_BLANK_RQD="Y",RB_H_TOTAL,CRT_H_TOTAL)</f>
        <v>800</v>
      </c>
      <c r="R63" s="265"/>
      <c r="S63" s="267"/>
      <c r="V63" s="271"/>
      <c r="X63" s="389"/>
      <c r="Y63" s="389"/>
      <c r="AB63" s="389"/>
      <c r="AC63" s="441"/>
      <c r="AD63" s="389"/>
      <c r="AE63" s="265"/>
      <c r="BF63" s="271"/>
    </row>
    <row r="64" spans="1:58" ht="25" customHeight="1">
      <c r="A64" s="387"/>
      <c r="B64" s="344" t="s">
        <v>43</v>
      </c>
      <c r="C64" s="337"/>
      <c r="D64" s="337"/>
      <c r="E64" s="337"/>
      <c r="F64" s="386">
        <f>H_BLANK/ACT_PIXEL_FREQ</f>
        <v>6.8085106382978724</v>
      </c>
      <c r="G64" s="384" t="s">
        <v>19</v>
      </c>
      <c r="H64" s="426">
        <f>H_BLANK/CELL_GRAN_RND</f>
        <v>20</v>
      </c>
      <c r="I64" s="337" t="s">
        <v>20</v>
      </c>
      <c r="J64" s="425">
        <f>H_BLANK</f>
        <v>160</v>
      </c>
      <c r="K64" s="338" t="s">
        <v>3</v>
      </c>
      <c r="L64" s="430"/>
      <c r="M64" s="352"/>
      <c r="O64" s="413" t="s">
        <v>62</v>
      </c>
      <c r="Q64" s="412"/>
      <c r="R64" s="265"/>
      <c r="S64" s="267"/>
      <c r="X64" s="389"/>
      <c r="Y64" s="389"/>
      <c r="AB64" s="389"/>
      <c r="AC64" s="389"/>
      <c r="AD64" s="389"/>
      <c r="AE64" s="265"/>
      <c r="BF64" s="271"/>
    </row>
    <row r="65" spans="1:58" ht="25" customHeight="1">
      <c r="A65" s="387"/>
      <c r="B65" s="344" t="s">
        <v>44</v>
      </c>
      <c r="C65" s="337"/>
      <c r="D65" s="337"/>
      <c r="E65" s="337"/>
      <c r="F65" s="386">
        <f>(H_BLANK+LEFT_MARGIN+RIGHT_MARGIN)/ACT_PIXEL_FREQ</f>
        <v>6.8085106382978724</v>
      </c>
      <c r="G65" s="384" t="s">
        <v>19</v>
      </c>
      <c r="H65" s="426">
        <f>(H_BLANK+LEFT_MARGIN+RIGHT_MARGIN)/CELL_GRAN_RND</f>
        <v>20</v>
      </c>
      <c r="I65" s="337" t="s">
        <v>20</v>
      </c>
      <c r="J65" s="425">
        <f>H_BLANK+LEFT_MARGIN+RIGHT_MARGIN</f>
        <v>160</v>
      </c>
      <c r="K65" s="338" t="s">
        <v>3</v>
      </c>
      <c r="L65" s="430"/>
      <c r="M65" s="352"/>
      <c r="O65" s="413"/>
      <c r="P65" s="270" t="s">
        <v>89</v>
      </c>
      <c r="Q65" s="412">
        <f>IF(RED_BLANK_RQD="Y",RB_H_BLANK,CRT_H_BLANK)</f>
        <v>160</v>
      </c>
      <c r="R65" s="265"/>
      <c r="S65" s="267"/>
      <c r="V65" s="271"/>
      <c r="X65" s="389"/>
      <c r="Y65" s="389"/>
      <c r="AB65" s="389"/>
      <c r="AC65" s="389"/>
      <c r="AD65" s="389"/>
      <c r="AE65" s="265"/>
      <c r="BF65" s="271"/>
    </row>
    <row r="66" spans="1:58" ht="25" customHeight="1">
      <c r="A66" s="387"/>
      <c r="B66" s="344" t="s">
        <v>17</v>
      </c>
      <c r="C66" s="337"/>
      <c r="D66" s="337"/>
      <c r="E66" s="337"/>
      <c r="F66" s="386">
        <f>IDEAL_DUTY_CYCLE</f>
        <v>19.87083333333333</v>
      </c>
      <c r="G66" s="384" t="s">
        <v>18</v>
      </c>
      <c r="H66" s="425"/>
      <c r="I66" s="338"/>
      <c r="J66" s="429"/>
      <c r="K66" s="337"/>
      <c r="L66" s="337"/>
      <c r="M66" s="352"/>
      <c r="O66" s="413" t="s">
        <v>64</v>
      </c>
      <c r="Q66" s="412"/>
      <c r="R66" s="265"/>
      <c r="S66" s="267"/>
      <c r="X66" s="389"/>
      <c r="Y66" s="389"/>
      <c r="AB66" s="389"/>
      <c r="AC66" s="389"/>
      <c r="AD66" s="389"/>
      <c r="AE66" s="265"/>
      <c r="BF66" s="271"/>
    </row>
    <row r="67" spans="1:58" ht="25" customHeight="1">
      <c r="A67" s="387"/>
      <c r="B67" s="344"/>
      <c r="C67" s="338" t="s">
        <v>50</v>
      </c>
      <c r="D67" s="338"/>
      <c r="E67" s="338"/>
      <c r="F67" s="386"/>
      <c r="G67" s="384"/>
      <c r="H67" s="425"/>
      <c r="I67" s="338"/>
      <c r="J67" s="429"/>
      <c r="K67" s="338"/>
      <c r="L67" s="337"/>
      <c r="M67" s="352"/>
      <c r="O67" s="413"/>
      <c r="P67" s="270" t="s">
        <v>90</v>
      </c>
      <c r="Q67" s="412">
        <f xml:space="preserve"> IF(AND((RED_BLANK_RQD="y"),(RED_BLANK_VER=3)),K144, H_BLANK-H_BACK_PORCH-H_SYNC_RND)</f>
        <v>48</v>
      </c>
      <c r="R67" s="265"/>
      <c r="S67" s="267"/>
      <c r="V67" s="271"/>
      <c r="X67" s="389"/>
      <c r="Y67" s="389"/>
      <c r="AB67" s="389"/>
      <c r="AC67" s="389"/>
      <c r="AD67" s="431"/>
      <c r="AE67" s="265"/>
      <c r="BF67" s="271"/>
    </row>
    <row r="68" spans="1:58" ht="25" customHeight="1">
      <c r="A68" s="387"/>
      <c r="B68" s="344" t="s">
        <v>21</v>
      </c>
      <c r="C68" s="337"/>
      <c r="D68" s="337"/>
      <c r="E68" s="337"/>
      <c r="F68" s="386">
        <f>H_BLANK/TOTAL_PIXELS*100</f>
        <v>20</v>
      </c>
      <c r="G68" s="384" t="s">
        <v>18</v>
      </c>
      <c r="H68" s="425"/>
      <c r="I68" s="338"/>
      <c r="J68" s="429"/>
      <c r="K68" s="337"/>
      <c r="L68" s="337"/>
      <c r="M68" s="352"/>
      <c r="O68" s="413" t="s">
        <v>65</v>
      </c>
      <c r="Q68" s="412"/>
      <c r="R68" s="265"/>
      <c r="S68" s="267"/>
      <c r="V68" s="271"/>
      <c r="X68" s="389"/>
      <c r="Y68" s="389"/>
      <c r="AB68" s="420"/>
      <c r="AC68" s="389"/>
      <c r="AD68" s="431"/>
      <c r="AE68" s="265"/>
      <c r="BF68" s="271"/>
    </row>
    <row r="69" spans="1:58" ht="25" customHeight="1">
      <c r="A69" s="387"/>
      <c r="B69" s="344" t="s">
        <v>22</v>
      </c>
      <c r="C69" s="337"/>
      <c r="D69" s="337"/>
      <c r="E69" s="337"/>
      <c r="F69" s="386">
        <f>(H_BLANK+LEFT_MARGIN+RIGHT_MARGIN)/TOTAL_PIXELS*100</f>
        <v>20</v>
      </c>
      <c r="G69" s="384" t="s">
        <v>18</v>
      </c>
      <c r="H69" s="425"/>
      <c r="I69" s="338"/>
      <c r="J69" s="429"/>
      <c r="K69" s="337"/>
      <c r="L69" s="337"/>
      <c r="M69" s="352"/>
      <c r="O69" s="413"/>
      <c r="P69" s="270" t="s">
        <v>91</v>
      </c>
      <c r="Q69" s="412">
        <f>IF(RED_BLANK_RQD="Y",Y13,(ROUNDDOWN((H_SYNC_PER/100*TOTAL_PIXELS/CELL_GRAN_RND),0))*CELL_GRAN_RND)</f>
        <v>32</v>
      </c>
      <c r="R69" s="265"/>
      <c r="S69" s="267"/>
      <c r="V69" s="271"/>
      <c r="X69" s="389"/>
      <c r="Y69" s="389"/>
      <c r="AB69" s="420"/>
      <c r="AC69" s="389"/>
      <c r="AD69" s="389"/>
      <c r="AE69" s="265"/>
      <c r="BF69" s="271"/>
    </row>
    <row r="70" spans="1:58" ht="24.75" customHeight="1">
      <c r="A70" s="387"/>
      <c r="B70" s="344" t="s">
        <v>23</v>
      </c>
      <c r="C70" s="337"/>
      <c r="D70" s="337"/>
      <c r="E70" s="337"/>
      <c r="F70" s="386">
        <f>LEFT_MARGIN/ACT_PIXEL_FREQ</f>
        <v>0</v>
      </c>
      <c r="G70" s="384" t="s">
        <v>19</v>
      </c>
      <c r="H70" s="426">
        <f>LEFT_MARGIN/CELL_GRAN_RND</f>
        <v>0</v>
      </c>
      <c r="I70" s="337" t="s">
        <v>20</v>
      </c>
      <c r="J70" s="425">
        <f>LEFT_MARGIN</f>
        <v>0</v>
      </c>
      <c r="K70" s="338" t="s">
        <v>3</v>
      </c>
      <c r="L70" s="338"/>
      <c r="M70" s="352"/>
      <c r="O70" s="413" t="s">
        <v>66</v>
      </c>
      <c r="Q70" s="412"/>
      <c r="R70" s="265"/>
      <c r="S70" s="267"/>
      <c r="V70" s="271"/>
      <c r="X70" s="389"/>
      <c r="Y70" s="389"/>
      <c r="AB70" s="420"/>
      <c r="AC70" s="389"/>
      <c r="AD70" s="389"/>
      <c r="AE70" s="265"/>
      <c r="BF70" s="271"/>
    </row>
    <row r="71" spans="1:58" ht="25" customHeight="1">
      <c r="A71" s="387"/>
      <c r="B71" s="344" t="s">
        <v>24</v>
      </c>
      <c r="C71" s="337"/>
      <c r="D71" s="337"/>
      <c r="E71" s="337"/>
      <c r="F71" s="386">
        <f>H_FRONT_PORCH/ACT_PIXEL_FREQ</f>
        <v>2.0425531914893615</v>
      </c>
      <c r="G71" s="384" t="s">
        <v>19</v>
      </c>
      <c r="H71" s="426">
        <f>H_FRONT_PORCH/CELL_GRAN_RND</f>
        <v>6</v>
      </c>
      <c r="I71" s="337" t="s">
        <v>20</v>
      </c>
      <c r="J71" s="425">
        <f>H_FRONT_PORCH</f>
        <v>48</v>
      </c>
      <c r="K71" s="338" t="s">
        <v>3</v>
      </c>
      <c r="L71" s="338"/>
      <c r="M71" s="352"/>
      <c r="O71" s="413"/>
      <c r="P71" s="270" t="s">
        <v>92</v>
      </c>
      <c r="Q71" s="412">
        <f xml:space="preserve"> IF(AND((RED_BLANK_RQD="y"),(RED_BLANK_VER=3)), H_BLANK-H_FRONT_PORCH-H_SYNC_RND, H_BLANK/2)</f>
        <v>80</v>
      </c>
      <c r="R71" s="265"/>
      <c r="S71" s="267"/>
      <c r="X71" s="389"/>
      <c r="Y71" s="389"/>
      <c r="AB71" s="420"/>
      <c r="AC71" s="389"/>
      <c r="AD71" s="389"/>
      <c r="AE71" s="265"/>
      <c r="BF71" s="271"/>
    </row>
    <row r="72" spans="1:58" ht="25" customHeight="1">
      <c r="A72" s="387"/>
      <c r="B72" s="344" t="s">
        <v>45</v>
      </c>
      <c r="C72" s="337"/>
      <c r="D72" s="337"/>
      <c r="E72" s="337"/>
      <c r="F72" s="386">
        <f>H_SYNC_RND/ACT_PIXEL_FREQ</f>
        <v>1.3617021276595744</v>
      </c>
      <c r="G72" s="384" t="s">
        <v>19</v>
      </c>
      <c r="H72" s="426">
        <f>H_SYNC_RND/CELL_GRAN_RND</f>
        <v>4</v>
      </c>
      <c r="I72" s="337" t="s">
        <v>20</v>
      </c>
      <c r="J72" s="425">
        <f>H_SYNC_RND</f>
        <v>32</v>
      </c>
      <c r="K72" s="338" t="s">
        <v>3</v>
      </c>
      <c r="L72" s="338"/>
      <c r="M72" s="352"/>
      <c r="O72" s="413"/>
      <c r="Q72" s="412"/>
      <c r="R72" s="265"/>
      <c r="S72" s="267"/>
      <c r="X72" s="389"/>
      <c r="Y72" s="389"/>
      <c r="AB72" s="420"/>
      <c r="AC72" s="389"/>
      <c r="AD72" s="389"/>
      <c r="AE72" s="265"/>
      <c r="BF72" s="271"/>
    </row>
    <row r="73" spans="1:58" ht="25" customHeight="1">
      <c r="A73" s="387"/>
      <c r="B73" s="344" t="s">
        <v>25</v>
      </c>
      <c r="C73" s="337"/>
      <c r="D73" s="337"/>
      <c r="E73" s="337"/>
      <c r="F73" s="386">
        <f>H_BACK_PORCH/ACT_PIXEL_FREQ</f>
        <v>3.4042553191489362</v>
      </c>
      <c r="G73" s="384" t="s">
        <v>19</v>
      </c>
      <c r="H73" s="426">
        <f>H_BACK_PORCH/CELL_GRAN_RND</f>
        <v>10</v>
      </c>
      <c r="I73" s="337" t="s">
        <v>20</v>
      </c>
      <c r="J73" s="425">
        <f>H_BACK_PORCH</f>
        <v>80</v>
      </c>
      <c r="K73" s="338" t="s">
        <v>3</v>
      </c>
      <c r="L73" s="338"/>
      <c r="M73" s="352"/>
      <c r="O73" s="413" t="s">
        <v>63</v>
      </c>
      <c r="Q73" s="412"/>
      <c r="R73" s="265"/>
      <c r="S73" s="267"/>
      <c r="X73" s="389"/>
      <c r="Y73" s="389"/>
      <c r="AB73" s="420"/>
      <c r="AC73" s="420"/>
      <c r="AD73" s="389"/>
      <c r="AE73" s="265"/>
      <c r="BF73" s="271"/>
    </row>
    <row r="74" spans="1:58" ht="25" customHeight="1">
      <c r="A74" s="387"/>
      <c r="B74" s="344" t="s">
        <v>26</v>
      </c>
      <c r="C74" s="337"/>
      <c r="D74" s="337"/>
      <c r="E74" s="337"/>
      <c r="F74" s="386">
        <f>RIGHT_MARGIN/ACT_PIXEL_FREQ</f>
        <v>0</v>
      </c>
      <c r="G74" s="384" t="s">
        <v>19</v>
      </c>
      <c r="H74" s="426">
        <f>RIGHT_MARGIN/CELL_GRAN_RND</f>
        <v>0</v>
      </c>
      <c r="I74" s="337" t="s">
        <v>20</v>
      </c>
      <c r="J74" s="425">
        <f>RIGHT_MARGIN</f>
        <v>0</v>
      </c>
      <c r="K74" s="338" t="s">
        <v>3</v>
      </c>
      <c r="L74" s="338"/>
      <c r="M74" s="352"/>
      <c r="O74" s="413"/>
      <c r="P74" s="270" t="s">
        <v>93</v>
      </c>
      <c r="Q74" s="428">
        <f>IF(RED_BLANK_RQD="Y",RB_TOTAL_V_LINES,CRT_TOTAL_V_LINES)</f>
        <v>494</v>
      </c>
      <c r="R74" s="265"/>
      <c r="S74" s="267"/>
      <c r="V74" s="271"/>
      <c r="X74" s="389"/>
      <c r="Y74" s="389"/>
      <c r="AB74" s="420"/>
      <c r="AC74" s="420"/>
      <c r="AD74" s="420"/>
      <c r="AE74" s="265"/>
      <c r="BF74" s="271"/>
    </row>
    <row r="75" spans="1:58" ht="25" customHeight="1">
      <c r="A75" s="411"/>
      <c r="B75" s="410"/>
      <c r="C75" s="409"/>
      <c r="D75" s="409"/>
      <c r="E75" s="409"/>
      <c r="F75" s="408"/>
      <c r="G75" s="406"/>
      <c r="H75" s="424"/>
      <c r="I75" s="423"/>
      <c r="J75" s="422"/>
      <c r="K75" s="409"/>
      <c r="L75" s="409"/>
      <c r="M75" s="421"/>
      <c r="O75" s="413" t="s">
        <v>67</v>
      </c>
      <c r="Q75" s="428"/>
      <c r="R75" s="265"/>
      <c r="S75" s="267"/>
      <c r="V75" s="271"/>
      <c r="X75" s="389"/>
      <c r="Y75" s="389"/>
      <c r="AB75" s="420"/>
      <c r="AC75" s="427"/>
      <c r="AD75" s="420"/>
      <c r="AE75" s="265"/>
    </row>
    <row r="76" spans="1:58" ht="25" customHeight="1">
      <c r="A76" s="387"/>
      <c r="B76" s="344"/>
      <c r="C76" s="337"/>
      <c r="D76" s="337"/>
      <c r="E76" s="337"/>
      <c r="F76" s="417" t="str">
        <f>(IF(INT_RQD="y","PER FRAME",""))</f>
        <v/>
      </c>
      <c r="G76" s="418"/>
      <c r="H76" s="419" t="str">
        <f>(IF(INT_RQD="y","PER FIELD",""))</f>
        <v/>
      </c>
      <c r="I76" s="418"/>
      <c r="J76" s="417" t="str">
        <f>(IF(INT_RQD="y","PER FRAME",""))</f>
        <v/>
      </c>
      <c r="K76" s="416"/>
      <c r="L76" s="415" t="str">
        <f>(IF(INT_RQD="y","PER FIELD",""))</f>
        <v/>
      </c>
      <c r="M76" s="414"/>
      <c r="O76" s="413"/>
      <c r="P76" s="270" t="s">
        <v>94</v>
      </c>
      <c r="Q76" s="412">
        <f>IF(RED_BLANK_RQD="y",ACT_VBI_LINES,V_SYNC_BP+MIN_V_FPORCH_RND)</f>
        <v>14</v>
      </c>
      <c r="R76" s="265"/>
      <c r="S76" s="267"/>
      <c r="V76" s="271"/>
      <c r="X76" s="389"/>
      <c r="Y76" s="389"/>
      <c r="AB76" s="420"/>
      <c r="AC76" s="389"/>
      <c r="AD76" s="420"/>
      <c r="AE76" s="265"/>
    </row>
    <row r="77" spans="1:58" ht="25" customHeight="1">
      <c r="A77" s="387"/>
      <c r="B77" s="344" t="s">
        <v>46</v>
      </c>
      <c r="C77" s="337"/>
      <c r="D77" s="337"/>
      <c r="E77" s="337"/>
      <c r="F77" s="386">
        <f>IF(INT_RQD="y",2,1)*TOTAL_V_LINES/ACT_H_FREQ</f>
        <v>16.817021276595746</v>
      </c>
      <c r="G77" s="384" t="s">
        <v>27</v>
      </c>
      <c r="H77" s="385" t="str">
        <f>IF(INT_RQD="y",TOTAL_V_LINES/ACT_H_FREQ,"")</f>
        <v/>
      </c>
      <c r="I77" s="384" t="str">
        <f>IF(INT_RQD="y","ms","")</f>
        <v/>
      </c>
      <c r="J77" s="382">
        <f>IF(INT_RQD="y",2,1)*TOTAL_V_LINES</f>
        <v>494</v>
      </c>
      <c r="K77" s="383" t="s">
        <v>5</v>
      </c>
      <c r="L77" s="382" t="str">
        <f>IF(INT_RQD="y",TOTAL_V_LINES,"")</f>
        <v/>
      </c>
      <c r="M77" s="381" t="str">
        <f>(IF(INT_RQD="y","LINES",""))</f>
        <v/>
      </c>
      <c r="O77" s="413" t="s">
        <v>68</v>
      </c>
      <c r="Q77" s="412"/>
      <c r="R77" s="265"/>
      <c r="S77" s="267"/>
      <c r="V77" s="271"/>
      <c r="X77" s="389"/>
      <c r="Y77" s="389"/>
      <c r="AB77" s="420"/>
      <c r="AC77" s="420"/>
      <c r="AD77" s="420"/>
      <c r="AE77" s="265"/>
    </row>
    <row r="78" spans="1:58" ht="25" customHeight="1">
      <c r="A78" s="387"/>
      <c r="B78" s="344" t="s">
        <v>47</v>
      </c>
      <c r="C78" s="337"/>
      <c r="D78" s="337"/>
      <c r="E78" s="337"/>
      <c r="F78" s="386">
        <f>IF(INT_RQD="y",2,1)*V_LINES_RND/ACT_H_FREQ</f>
        <v>16.340425531914892</v>
      </c>
      <c r="G78" s="384" t="s">
        <v>27</v>
      </c>
      <c r="H78" s="385" t="str">
        <f>IF(INT_RQD="y",V_LINES_RND/ACT_H_FREQ,"")</f>
        <v/>
      </c>
      <c r="I78" s="384" t="str">
        <f>IF(INT_RQD="y","ms","")</f>
        <v/>
      </c>
      <c r="J78" s="382">
        <f>IF(INT_RQD="y",2*V_LINES_RND,V_LINES_RND)</f>
        <v>480</v>
      </c>
      <c r="K78" s="383" t="s">
        <v>5</v>
      </c>
      <c r="L78" s="382" t="str">
        <f>IF(INT_RQD="y",V_LINES_RND,"")</f>
        <v/>
      </c>
      <c r="M78" s="381" t="str">
        <f>(IF(INT_RQD="y","LINES",""))</f>
        <v/>
      </c>
      <c r="O78" s="413"/>
      <c r="P78" s="270" t="s">
        <v>95</v>
      </c>
      <c r="Q78" s="412">
        <f>IF(RED_BLANK_RQD="y",IF(OR((RED_BLANK_VER=2),(RED_BLANK_VER=3)), V_BLANK-V_BACK_PORCH-V_SYNC_RND, RB_V_FPORCH), MIN_V_FPORCH_RND)</f>
        <v>3</v>
      </c>
      <c r="R78" s="265"/>
      <c r="S78" s="267"/>
      <c r="X78" s="389"/>
      <c r="Y78" s="389"/>
      <c r="AB78" s="389"/>
      <c r="AC78" s="420"/>
      <c r="AD78" s="420"/>
      <c r="AE78" s="265"/>
    </row>
    <row r="79" spans="1:58" ht="25" customHeight="1">
      <c r="A79" s="411"/>
      <c r="B79" s="410"/>
      <c r="C79" s="409"/>
      <c r="D79" s="409"/>
      <c r="E79" s="409"/>
      <c r="F79" s="408"/>
      <c r="G79" s="406"/>
      <c r="H79" s="407"/>
      <c r="I79" s="406"/>
      <c r="J79" s="404"/>
      <c r="K79" s="405"/>
      <c r="L79" s="404"/>
      <c r="M79" s="403"/>
      <c r="O79" s="413" t="s">
        <v>69</v>
      </c>
      <c r="Q79" s="412"/>
      <c r="R79" s="265"/>
      <c r="S79" s="267"/>
      <c r="X79" s="389"/>
      <c r="Y79" s="389"/>
      <c r="AB79" s="389"/>
      <c r="AC79" s="389"/>
      <c r="AD79" s="389"/>
      <c r="AE79" s="265"/>
    </row>
    <row r="80" spans="1:58" ht="25" customHeight="1">
      <c r="A80" s="399"/>
      <c r="B80" s="398"/>
      <c r="C80" s="397"/>
      <c r="D80" s="397"/>
      <c r="E80" s="397"/>
      <c r="F80" s="396" t="str">
        <f>(IF(INT_RQD="y","ODD FIELD",""))</f>
        <v/>
      </c>
      <c r="G80" s="394"/>
      <c r="H80" s="395" t="str">
        <f>(IF(INT_RQD="y","EVEN FIELD",""))</f>
        <v/>
      </c>
      <c r="I80" s="394"/>
      <c r="J80" s="392" t="str">
        <f>(IF(INT_RQD="y","ODD FIELD",""))</f>
        <v/>
      </c>
      <c r="K80" s="393"/>
      <c r="L80" s="392" t="str">
        <f>(IF(INT_RQD="y","EVEN FIELD",""))</f>
        <v/>
      </c>
      <c r="M80" s="391"/>
      <c r="O80" s="413"/>
      <c r="P80" s="270" t="s">
        <v>96</v>
      </c>
      <c r="Q80" s="412">
        <f>INT(V_SYNC)</f>
        <v>4</v>
      </c>
      <c r="R80" s="265"/>
      <c r="S80" s="267"/>
      <c r="X80" s="389"/>
      <c r="Y80" s="389"/>
      <c r="AB80" s="389"/>
      <c r="AC80" s="389"/>
      <c r="AD80" s="389"/>
      <c r="AE80" s="265"/>
    </row>
    <row r="81" spans="1:31" ht="25" customHeight="1">
      <c r="A81" s="387"/>
      <c r="B81" s="344" t="s">
        <v>48</v>
      </c>
      <c r="C81" s="337"/>
      <c r="D81" s="337"/>
      <c r="E81" s="337"/>
      <c r="F81" s="386">
        <f>V_BLANK/ACT_H_FREQ</f>
        <v>0.47659574468085109</v>
      </c>
      <c r="G81" s="384" t="s">
        <v>27</v>
      </c>
      <c r="H81" s="386" t="str">
        <f>IF(INT_RQD="y",(V_BLANK+(2*INTERLACE))/ACT_H_FREQ,"")</f>
        <v/>
      </c>
      <c r="I81" s="384" t="str">
        <f>(IF(INT_RQD="y","ms",""))</f>
        <v/>
      </c>
      <c r="J81" s="382">
        <f>V_BLANK</f>
        <v>14</v>
      </c>
      <c r="K81" s="383" t="s">
        <v>5</v>
      </c>
      <c r="L81" s="382" t="str">
        <f>IF(INT_RQD="y",V_BLANK+(2*INTERLACE),"")</f>
        <v/>
      </c>
      <c r="M81" s="381" t="str">
        <f t="shared" ref="M81:M86" si="0">(IF(INT_RQD="y","LINES",""))</f>
        <v/>
      </c>
      <c r="O81" s="413" t="s">
        <v>70</v>
      </c>
      <c r="Q81" s="412"/>
      <c r="R81" s="265"/>
      <c r="S81" s="267"/>
      <c r="X81" s="389"/>
      <c r="Y81" s="389"/>
      <c r="AB81" s="389"/>
      <c r="AC81" s="389"/>
      <c r="AD81" s="389"/>
      <c r="AE81" s="265"/>
    </row>
    <row r="82" spans="1:31" ht="25" customHeight="1">
      <c r="A82" s="387"/>
      <c r="B82" s="344" t="s">
        <v>28</v>
      </c>
      <c r="C82" s="337"/>
      <c r="D82" s="337"/>
      <c r="E82" s="337"/>
      <c r="F82" s="386">
        <f>1000*TOP_MARGIN/ACT_H_FREQ</f>
        <v>0</v>
      </c>
      <c r="G82" s="384" t="s">
        <v>19</v>
      </c>
      <c r="H82" s="385" t="str">
        <f>(IF(INT_RQD="y",1000*TOP_MARGIN/ACT_H_FREQ,""))</f>
        <v/>
      </c>
      <c r="I82" s="384" t="str">
        <f>(IF(INT_RQD="y","us",""))</f>
        <v/>
      </c>
      <c r="J82" s="382">
        <f>TOP_MARGIN</f>
        <v>0</v>
      </c>
      <c r="K82" s="383" t="s">
        <v>5</v>
      </c>
      <c r="L82" s="382" t="str">
        <f>(IF(INT_RQD="y",TOP_MARGIN,""))</f>
        <v/>
      </c>
      <c r="M82" s="381" t="str">
        <f t="shared" si="0"/>
        <v/>
      </c>
      <c r="O82" s="413"/>
      <c r="P82" s="270" t="s">
        <v>279</v>
      </c>
      <c r="Q82" s="412">
        <f>IF(AND((RED_BLANK_RQD="y"),OR((RED_BLANK_VER=2),(RED_BLANK_VER=3))), RB_MIN_V_BPORCH, IF((V_BLANK-V_FRONT_PORCH-V_SYNC_RND)&lt;RB_MIN_V_BPORCH,RB_MIN_V_BPORCH,V_BLANK-V_FRONT_PORCH-V_SYNC_RND))</f>
        <v>7</v>
      </c>
      <c r="R82" s="265"/>
      <c r="S82" s="267"/>
      <c r="X82" s="389"/>
      <c r="Y82" s="389"/>
      <c r="AB82" s="389"/>
      <c r="AC82" s="389"/>
      <c r="AD82" s="389"/>
      <c r="AE82" s="265"/>
    </row>
    <row r="83" spans="1:31" ht="25" customHeight="1" thickBot="1">
      <c r="A83" s="387"/>
      <c r="B83" s="344" t="s">
        <v>29</v>
      </c>
      <c r="C83" s="337"/>
      <c r="D83" s="337"/>
      <c r="E83" s="337"/>
      <c r="F83" s="386">
        <f>1000*(V_FRONT_PORCH+INTERLACE)/ACT_H_FREQ</f>
        <v>102.12765957446808</v>
      </c>
      <c r="G83" s="384" t="s">
        <v>19</v>
      </c>
      <c r="H83" s="385" t="str">
        <f>IF(INT_RQD="y",1000*V_FRONT_PORCH/ACT_H_FREQ,"")</f>
        <v/>
      </c>
      <c r="I83" s="384" t="str">
        <f>(IF(INT_RQD="y","us",""))</f>
        <v/>
      </c>
      <c r="J83" s="382">
        <f>V_FRONT_PORCH+INTERLACE</f>
        <v>3</v>
      </c>
      <c r="K83" s="383" t="s">
        <v>5</v>
      </c>
      <c r="L83" s="382" t="str">
        <f>IF(INT_RQD="y",V_FRONT_PORCH,"")</f>
        <v/>
      </c>
      <c r="M83" s="381" t="str">
        <f t="shared" si="0"/>
        <v/>
      </c>
      <c r="O83" s="402"/>
      <c r="P83" s="401"/>
      <c r="Q83" s="400"/>
      <c r="R83" s="265"/>
      <c r="S83" s="267"/>
      <c r="X83" s="389"/>
      <c r="Y83" s="389"/>
      <c r="AB83" s="389"/>
      <c r="AC83" s="389"/>
      <c r="AD83" s="389"/>
      <c r="AE83" s="265"/>
    </row>
    <row r="84" spans="1:31" ht="25" customHeight="1">
      <c r="A84" s="387"/>
      <c r="B84" s="344" t="s">
        <v>49</v>
      </c>
      <c r="C84" s="337"/>
      <c r="D84" s="337"/>
      <c r="E84" s="337"/>
      <c r="F84" s="386">
        <f>1000*V_SYNC_RND/ACT_H_FREQ</f>
        <v>136.17021276595744</v>
      </c>
      <c r="G84" s="384" t="s">
        <v>19</v>
      </c>
      <c r="H84" s="386" t="str">
        <f>IF(INT_RQD="y",1000*V_SYNC_RND/ACT_H_FREQ,"")</f>
        <v/>
      </c>
      <c r="I84" s="384" t="str">
        <f>(IF(INT_RQD="y","us",""))</f>
        <v/>
      </c>
      <c r="J84" s="382">
        <f>V_SYNC_RND</f>
        <v>4</v>
      </c>
      <c r="K84" s="383" t="s">
        <v>5</v>
      </c>
      <c r="L84" s="382" t="str">
        <f>IF(INT_RQD="y",V_SYNC_RND,"")</f>
        <v/>
      </c>
      <c r="M84" s="381" t="str">
        <f t="shared" si="0"/>
        <v/>
      </c>
      <c r="R84" s="265"/>
      <c r="S84" s="267"/>
      <c r="X84" s="389"/>
      <c r="Y84" s="389"/>
      <c r="AB84" s="389"/>
      <c r="AC84" s="389"/>
      <c r="AD84" s="389"/>
      <c r="AE84" s="265"/>
    </row>
    <row r="85" spans="1:31" ht="25" customHeight="1">
      <c r="A85" s="387"/>
      <c r="B85" s="344" t="s">
        <v>30</v>
      </c>
      <c r="C85" s="337"/>
      <c r="D85" s="337"/>
      <c r="E85" s="337"/>
      <c r="F85" s="386">
        <f>1000*V_BACK_PORCH/ACT_H_FREQ</f>
        <v>238.29787234042553</v>
      </c>
      <c r="G85" s="384" t="s">
        <v>19</v>
      </c>
      <c r="H85" s="385" t="str">
        <f>IF(INT_RQD="y",1000*(V_BACK_PORCH+INTERLACE)/ACT_H_FREQ,"")</f>
        <v/>
      </c>
      <c r="I85" s="384" t="str">
        <f>(IF(INT_RQD="y","us",""))</f>
        <v/>
      </c>
      <c r="J85" s="382">
        <f>V_BACK_PORCH</f>
        <v>7</v>
      </c>
      <c r="K85" s="383" t="s">
        <v>5</v>
      </c>
      <c r="L85" s="382" t="str">
        <f>IF(INT_RQD="y",V_BACK_PORCH+INTERLACE,"")</f>
        <v/>
      </c>
      <c r="M85" s="381" t="str">
        <f t="shared" si="0"/>
        <v/>
      </c>
      <c r="P85" s="280"/>
      <c r="Q85" s="388"/>
      <c r="R85" s="265"/>
      <c r="S85" s="267"/>
      <c r="X85" s="389"/>
      <c r="Y85" s="389"/>
      <c r="AB85" s="389"/>
      <c r="AC85" s="389"/>
      <c r="AD85" s="389"/>
      <c r="AE85" s="265"/>
    </row>
    <row r="86" spans="1:31" ht="25" customHeight="1">
      <c r="A86" s="387"/>
      <c r="B86" s="344" t="s">
        <v>31</v>
      </c>
      <c r="C86" s="337"/>
      <c r="D86" s="337"/>
      <c r="E86" s="337"/>
      <c r="F86" s="386">
        <f>1000*BOT_MARGIN/ACT_H_FREQ</f>
        <v>0</v>
      </c>
      <c r="G86" s="384" t="s">
        <v>19</v>
      </c>
      <c r="H86" s="385" t="str">
        <f>(IF(INT_RQD="y",1000*BOT_MARGIN/ACT_H_FREQ,""))</f>
        <v/>
      </c>
      <c r="I86" s="384" t="str">
        <f>(IF(INT_RQD="y","us",""))</f>
        <v/>
      </c>
      <c r="J86" s="382">
        <f>BOT_MARGIN</f>
        <v>0</v>
      </c>
      <c r="K86" s="383" t="s">
        <v>5</v>
      </c>
      <c r="L86" s="382" t="str">
        <f>(IF(INT_RQD="y",BOT_MARGIN,""))</f>
        <v/>
      </c>
      <c r="M86" s="381" t="str">
        <f t="shared" si="0"/>
        <v/>
      </c>
      <c r="P86" s="280"/>
      <c r="Q86" s="388"/>
      <c r="R86" s="265"/>
      <c r="S86" s="267"/>
      <c r="X86" s="389"/>
      <c r="Y86" s="389"/>
      <c r="AB86" s="389"/>
      <c r="AC86" s="389"/>
      <c r="AD86" s="389"/>
      <c r="AE86" s="265"/>
    </row>
    <row r="87" spans="1:31" ht="25" customHeight="1" thickBot="1">
      <c r="A87" s="380"/>
      <c r="B87" s="379"/>
      <c r="C87" s="378" t="str">
        <f>IF(B58="","","NOTE: ANY RESULT IN RED PARENTHESIS INDICATES AN ERROR: SOLUTION NOT POSSIBLE WITH GIVEN INPUTS REQUIREMENTS")</f>
        <v>NOTE: ANY RESULT IN RED PARENTHESIS INDICATES AN ERROR: SOLUTION NOT POSSIBLE WITH GIVEN INPUTS REQUIREMENTS</v>
      </c>
      <c r="D87" s="374"/>
      <c r="E87" s="374"/>
      <c r="F87" s="377"/>
      <c r="G87" s="376"/>
      <c r="H87" s="374"/>
      <c r="I87" s="374"/>
      <c r="J87" s="375"/>
      <c r="K87" s="374"/>
      <c r="L87" s="374"/>
      <c r="M87" s="373"/>
      <c r="P87" s="280"/>
      <c r="Q87" s="390"/>
      <c r="R87" s="265"/>
      <c r="S87" s="267"/>
      <c r="AD87" s="389"/>
      <c r="AE87" s="265"/>
    </row>
    <row r="88" spans="1:31" ht="25" customHeight="1" thickTop="1">
      <c r="A88" s="367"/>
      <c r="B88" s="372"/>
      <c r="F88" s="371"/>
      <c r="G88" s="370"/>
      <c r="H88" s="369"/>
      <c r="I88" s="369"/>
      <c r="J88" s="368"/>
      <c r="K88" s="278"/>
      <c r="L88" s="278"/>
      <c r="M88" s="278"/>
      <c r="P88" s="280"/>
      <c r="Q88" s="388"/>
      <c r="R88" s="265"/>
      <c r="S88" s="267"/>
      <c r="AE88" s="265"/>
    </row>
    <row r="89" spans="1:31" ht="25" customHeight="1">
      <c r="A89" s="367"/>
      <c r="B89" s="372"/>
      <c r="F89" s="371" t="s">
        <v>241</v>
      </c>
      <c r="H89" s="369"/>
      <c r="I89" s="369"/>
      <c r="J89" s="368"/>
      <c r="K89" s="278"/>
      <c r="L89" s="278"/>
      <c r="M89" s="278"/>
      <c r="P89" s="280"/>
      <c r="Q89" s="388"/>
      <c r="R89" s="271"/>
      <c r="S89" s="267"/>
      <c r="AE89" s="265"/>
    </row>
    <row r="90" spans="1:31" ht="25" customHeight="1">
      <c r="A90" s="367"/>
      <c r="B90" s="372"/>
      <c r="F90" s="371"/>
      <c r="H90" s="369"/>
      <c r="I90" s="369"/>
      <c r="J90" s="368"/>
      <c r="K90" s="278"/>
      <c r="L90" s="278"/>
      <c r="M90" s="278"/>
      <c r="R90" s="271"/>
      <c r="S90" s="267"/>
      <c r="AE90" s="265"/>
    </row>
    <row r="91" spans="1:31" ht="25" customHeight="1">
      <c r="A91" s="367"/>
      <c r="B91" s="372"/>
      <c r="F91" s="371"/>
      <c r="G91" s="370"/>
      <c r="H91" s="369"/>
      <c r="I91" s="369"/>
      <c r="J91" s="368"/>
      <c r="K91" s="278"/>
      <c r="L91" s="278"/>
      <c r="M91" s="278"/>
      <c r="R91" s="271"/>
      <c r="S91" s="267"/>
      <c r="AE91" s="265"/>
    </row>
    <row r="92" spans="1:31" ht="25" customHeight="1" thickBot="1">
      <c r="A92" s="367"/>
      <c r="G92" s="271"/>
      <c r="R92" s="271"/>
      <c r="S92" s="267"/>
      <c r="AE92" s="265"/>
    </row>
    <row r="93" spans="1:31" ht="25" customHeight="1" thickTop="1">
      <c r="A93" s="278"/>
      <c r="B93" s="366"/>
      <c r="C93" s="363"/>
      <c r="D93" s="363"/>
      <c r="E93" s="363"/>
      <c r="F93" s="365"/>
      <c r="G93" s="363"/>
      <c r="H93" s="363"/>
      <c r="I93" s="363"/>
      <c r="J93" s="364"/>
      <c r="K93" s="364"/>
      <c r="L93" s="363"/>
      <c r="M93" s="362"/>
      <c r="R93" s="271"/>
      <c r="S93" s="267"/>
      <c r="AE93" s="265"/>
    </row>
    <row r="94" spans="1:31" ht="25" customHeight="1">
      <c r="A94" s="278"/>
      <c r="B94" s="361" t="s">
        <v>249</v>
      </c>
      <c r="C94" s="359"/>
      <c r="D94" s="359"/>
      <c r="E94" s="359"/>
      <c r="F94" s="360"/>
      <c r="G94" s="359"/>
      <c r="H94" s="359"/>
      <c r="I94" s="359"/>
      <c r="J94" s="359"/>
      <c r="K94" s="359"/>
      <c r="L94" s="359"/>
      <c r="M94" s="358"/>
      <c r="N94" s="271"/>
      <c r="R94" s="271"/>
      <c r="S94" s="267"/>
      <c r="AE94" s="265"/>
    </row>
    <row r="95" spans="1:31" ht="25" customHeight="1">
      <c r="A95" s="278"/>
      <c r="B95" s="357"/>
      <c r="C95" s="278"/>
      <c r="D95" s="278"/>
      <c r="E95" s="278"/>
      <c r="F95" s="356"/>
      <c r="G95" s="278"/>
      <c r="H95" s="278"/>
      <c r="I95" s="278"/>
      <c r="J95" s="293"/>
      <c r="K95" s="293"/>
      <c r="L95" s="278"/>
      <c r="M95" s="288"/>
      <c r="N95" s="271"/>
      <c r="R95" s="271"/>
      <c r="S95" s="267"/>
      <c r="AE95" s="265"/>
    </row>
    <row r="96" spans="1:31" ht="25" customHeight="1">
      <c r="A96" s="278"/>
      <c r="B96" s="300" t="s">
        <v>73</v>
      </c>
      <c r="C96" s="278"/>
      <c r="D96" s="278"/>
      <c r="E96" s="278"/>
      <c r="F96" s="356"/>
      <c r="G96" s="278"/>
      <c r="H96" s="278"/>
      <c r="I96" s="278"/>
      <c r="J96" s="293"/>
      <c r="K96" s="293"/>
      <c r="L96" s="278"/>
      <c r="M96" s="288" t="str">
        <f>_xlfn.TEXTJOIN(" , ",TRUE,M102:M159)</f>
        <v/>
      </c>
      <c r="N96" s="271"/>
      <c r="R96" s="271"/>
      <c r="S96" s="267"/>
      <c r="AE96" s="265"/>
    </row>
    <row r="97" spans="1:31" ht="25" customHeight="1">
      <c r="A97" s="278"/>
      <c r="B97" s="333"/>
      <c r="C97" s="278"/>
      <c r="D97" s="278"/>
      <c r="E97" s="278"/>
      <c r="F97" s="278"/>
      <c r="G97" s="278"/>
      <c r="H97" s="278"/>
      <c r="I97" s="278"/>
      <c r="J97" s="293"/>
      <c r="K97" s="355"/>
      <c r="L97" s="355"/>
      <c r="M97" s="288"/>
      <c r="N97" s="271"/>
      <c r="R97" s="271"/>
      <c r="S97" s="267"/>
      <c r="AE97" s="265"/>
    </row>
    <row r="98" spans="1:31" ht="25" customHeight="1">
      <c r="A98" s="278"/>
      <c r="B98" s="333"/>
      <c r="C98" s="326" t="s">
        <v>243</v>
      </c>
      <c r="D98" s="278"/>
      <c r="E98" s="278"/>
      <c r="F98" s="278"/>
      <c r="G98" s="278"/>
      <c r="H98" s="278"/>
      <c r="I98" s="278"/>
      <c r="J98" s="293"/>
      <c r="K98" s="355"/>
      <c r="L98" s="355"/>
      <c r="M98" s="288"/>
      <c r="N98" s="271"/>
      <c r="R98" s="271"/>
      <c r="S98" s="267"/>
      <c r="AE98" s="265"/>
    </row>
    <row r="99" spans="1:31" ht="25" customHeight="1">
      <c r="A99" s="278"/>
      <c r="B99" s="333"/>
      <c r="C99" s="278" t="s">
        <v>0</v>
      </c>
      <c r="D99" s="278"/>
      <c r="E99" s="278"/>
      <c r="F99" s="278"/>
      <c r="G99" s="278"/>
      <c r="H99" s="278"/>
      <c r="I99" s="278"/>
      <c r="J99" s="293"/>
      <c r="K99" s="293"/>
      <c r="L99" s="278"/>
      <c r="M99" s="288"/>
      <c r="N99" s="271"/>
      <c r="R99" s="271"/>
      <c r="S99" s="267"/>
      <c r="AE99" s="265"/>
    </row>
    <row r="100" spans="1:31" ht="25" customHeight="1">
      <c r="A100" s="278"/>
      <c r="B100" s="333"/>
      <c r="C100" s="278"/>
      <c r="D100" s="337" t="s">
        <v>185</v>
      </c>
      <c r="E100" s="337"/>
      <c r="F100" s="337"/>
      <c r="G100" s="278"/>
      <c r="H100" s="278"/>
      <c r="I100" s="278"/>
      <c r="J100" s="293"/>
      <c r="K100" s="293"/>
      <c r="L100" s="278"/>
      <c r="M100" s="288"/>
      <c r="N100" s="271"/>
      <c r="R100" s="271"/>
      <c r="S100" s="267"/>
      <c r="AE100" s="265"/>
    </row>
    <row r="101" spans="1:31" ht="25" customHeight="1" thickBot="1">
      <c r="A101" s="278"/>
      <c r="B101" s="333"/>
      <c r="C101" s="278"/>
      <c r="D101" s="337" t="s">
        <v>32</v>
      </c>
      <c r="E101" s="337"/>
      <c r="F101" s="337"/>
      <c r="G101" s="278"/>
      <c r="H101" s="278"/>
      <c r="I101" s="278"/>
      <c r="J101" s="293"/>
      <c r="K101" s="293"/>
      <c r="L101" s="278"/>
      <c r="M101" s="288"/>
      <c r="N101" s="271"/>
      <c r="R101" s="271"/>
      <c r="S101" s="267"/>
      <c r="AE101" s="265"/>
    </row>
    <row r="102" spans="1:31" ht="25" customHeight="1" thickTop="1" thickBot="1">
      <c r="A102" s="278"/>
      <c r="B102" s="333"/>
      <c r="C102" s="278"/>
      <c r="D102" s="337" t="s">
        <v>33</v>
      </c>
      <c r="E102" s="337" t="s">
        <v>161</v>
      </c>
      <c r="F102" s="337"/>
      <c r="G102" s="278"/>
      <c r="H102" s="278"/>
      <c r="I102" s="278"/>
      <c r="J102" s="293"/>
      <c r="K102" s="297">
        <v>1.8</v>
      </c>
      <c r="L102" s="354"/>
      <c r="M102" s="288"/>
      <c r="N102" s="271"/>
      <c r="R102" s="271"/>
      <c r="S102" s="267"/>
      <c r="AE102" s="265"/>
    </row>
    <row r="103" spans="1:31" ht="25" customHeight="1" thickTop="1">
      <c r="A103" s="278"/>
      <c r="B103" s="333"/>
      <c r="C103" s="278"/>
      <c r="D103" s="330"/>
      <c r="E103" s="330"/>
      <c r="F103" s="337"/>
      <c r="G103" s="278"/>
      <c r="H103" s="278"/>
      <c r="I103" s="278"/>
      <c r="J103" s="293"/>
      <c r="K103" s="348"/>
      <c r="L103" s="354"/>
      <c r="M103" s="288"/>
      <c r="N103" s="271"/>
      <c r="R103" s="265"/>
      <c r="S103" s="267"/>
      <c r="AE103" s="265"/>
    </row>
    <row r="104" spans="1:31" ht="25" customHeight="1">
      <c r="A104" s="278"/>
      <c r="B104" s="333"/>
      <c r="C104" s="278"/>
      <c r="D104" s="330"/>
      <c r="E104" s="337"/>
      <c r="F104" s="337"/>
      <c r="G104" s="278"/>
      <c r="H104" s="278"/>
      <c r="I104" s="278"/>
      <c r="J104" s="293"/>
      <c r="K104" s="348"/>
      <c r="L104" s="306"/>
      <c r="M104" s="288"/>
      <c r="N104" s="271"/>
      <c r="R104" s="265"/>
      <c r="S104" s="267"/>
      <c r="AE104" s="265"/>
    </row>
    <row r="105" spans="1:31" ht="25" customHeight="1" thickBot="1">
      <c r="A105" s="278"/>
      <c r="B105" s="333"/>
      <c r="C105" s="326" t="s">
        <v>244</v>
      </c>
      <c r="D105" s="337"/>
      <c r="E105" s="353"/>
      <c r="F105" s="337"/>
      <c r="G105" s="278"/>
      <c r="H105" s="278"/>
      <c r="I105" s="278"/>
      <c r="J105" s="293"/>
      <c r="K105" s="348"/>
      <c r="L105" s="306"/>
      <c r="M105" s="288"/>
      <c r="N105" s="271"/>
      <c r="R105" s="265"/>
      <c r="S105" s="267"/>
      <c r="AE105" s="265"/>
    </row>
    <row r="106" spans="1:31" ht="25" customHeight="1" thickTop="1" thickBot="1">
      <c r="A106" s="278"/>
      <c r="B106" s="333"/>
      <c r="C106" s="278"/>
      <c r="D106" s="337" t="s">
        <v>33</v>
      </c>
      <c r="E106" s="337" t="s">
        <v>213</v>
      </c>
      <c r="F106" s="337"/>
      <c r="G106" s="337"/>
      <c r="H106" s="337"/>
      <c r="I106" s="337"/>
      <c r="J106" s="298" t="s">
        <v>211</v>
      </c>
      <c r="K106" s="346">
        <f>IF(AND((RED_BLANK_RQD="y"),(RED_BLANK_VER=2)),K108,K107)</f>
        <v>8</v>
      </c>
      <c r="L106" s="296" t="s">
        <v>186</v>
      </c>
      <c r="M106" s="288"/>
      <c r="N106" s="271"/>
      <c r="R106" s="265"/>
      <c r="S106" s="267"/>
      <c r="AE106" s="265"/>
    </row>
    <row r="107" spans="1:31" ht="25" customHeight="1" thickTop="1" thickBot="1">
      <c r="A107" s="278"/>
      <c r="B107" s="333"/>
      <c r="C107" s="278"/>
      <c r="D107" s="337"/>
      <c r="E107" s="623" t="s">
        <v>194</v>
      </c>
      <c r="F107" s="623"/>
      <c r="G107" s="623"/>
      <c r="H107" s="623"/>
      <c r="I107" s="623"/>
      <c r="J107" s="352" t="s">
        <v>195</v>
      </c>
      <c r="K107" s="346">
        <v>8</v>
      </c>
      <c r="M107" s="288" t="str">
        <f>IF(K107&lt;&gt;8,"WARNING: Required CELL_GRAN value is 8","")</f>
        <v/>
      </c>
      <c r="N107" s="271"/>
      <c r="R107" s="265"/>
      <c r="S107" s="267"/>
      <c r="AE107" s="265"/>
    </row>
    <row r="108" spans="1:31" ht="25" customHeight="1" thickTop="1" thickBot="1">
      <c r="A108" s="278"/>
      <c r="B108" s="333"/>
      <c r="C108" s="278"/>
      <c r="D108" s="337"/>
      <c r="E108" s="623" t="s">
        <v>196</v>
      </c>
      <c r="F108" s="623"/>
      <c r="G108" s="623"/>
      <c r="H108" s="623"/>
      <c r="I108" s="623"/>
      <c r="J108" s="352" t="s">
        <v>197</v>
      </c>
      <c r="K108" s="346">
        <v>1</v>
      </c>
      <c r="M108" s="288" t="str">
        <f>IF(K108&lt;&gt;1,"WARNING: Required CELL_GRAN value is 1","")</f>
        <v/>
      </c>
      <c r="N108" s="271"/>
      <c r="R108" s="265"/>
      <c r="S108" s="267"/>
      <c r="AE108" s="265"/>
    </row>
    <row r="109" spans="1:31" ht="25" customHeight="1" thickTop="1">
      <c r="A109" s="278"/>
      <c r="B109" s="333"/>
      <c r="C109" s="278"/>
      <c r="D109" s="337"/>
      <c r="E109" s="337"/>
      <c r="F109" s="337"/>
      <c r="G109" s="278"/>
      <c r="H109" s="278"/>
      <c r="I109" s="278"/>
      <c r="J109" s="293"/>
      <c r="K109" s="351"/>
      <c r="L109" s="350"/>
      <c r="M109" s="288"/>
      <c r="R109" s="265"/>
      <c r="S109" s="267"/>
      <c r="AE109" s="265"/>
    </row>
    <row r="110" spans="1:31" ht="23">
      <c r="A110" s="278"/>
      <c r="B110" s="333"/>
      <c r="C110" s="326" t="s">
        <v>245</v>
      </c>
      <c r="D110" s="337"/>
      <c r="E110" s="337"/>
      <c r="F110" s="337"/>
      <c r="G110" s="278"/>
      <c r="H110" s="278"/>
      <c r="I110" s="278"/>
      <c r="J110" s="293"/>
      <c r="K110" s="351"/>
      <c r="L110" s="350"/>
      <c r="M110" s="288"/>
      <c r="N110" s="271"/>
      <c r="R110" s="265"/>
      <c r="S110" s="267"/>
      <c r="AE110" s="265"/>
    </row>
    <row r="111" spans="1:31" ht="50.5" customHeight="1">
      <c r="A111" s="278"/>
      <c r="B111" s="333"/>
      <c r="C111" s="278" t="s">
        <v>0</v>
      </c>
      <c r="D111" s="337"/>
      <c r="E111" s="337"/>
      <c r="F111" s="337"/>
      <c r="G111" s="278"/>
      <c r="H111" s="278"/>
      <c r="I111" s="278"/>
      <c r="J111" s="293"/>
      <c r="K111" s="351"/>
      <c r="L111" s="350"/>
      <c r="M111" s="288"/>
      <c r="N111" s="271"/>
      <c r="R111" s="265"/>
      <c r="S111" s="267"/>
      <c r="AE111" s="265"/>
    </row>
    <row r="112" spans="1:31" ht="25" customHeight="1">
      <c r="A112" s="278"/>
      <c r="B112" s="333"/>
      <c r="C112" s="278"/>
      <c r="D112" s="337" t="s">
        <v>34</v>
      </c>
      <c r="E112" s="337"/>
      <c r="F112" s="337"/>
      <c r="G112" s="278"/>
      <c r="H112" s="278"/>
      <c r="I112" s="278"/>
      <c r="J112" s="293"/>
      <c r="K112" s="351"/>
      <c r="L112" s="350"/>
      <c r="M112" s="288"/>
      <c r="N112" s="271"/>
      <c r="R112" s="265"/>
      <c r="S112" s="267"/>
      <c r="AE112" s="265"/>
    </row>
    <row r="113" spans="1:31" ht="25" customHeight="1" thickBot="1">
      <c r="A113" s="278"/>
      <c r="B113" s="333"/>
      <c r="C113" s="278"/>
      <c r="D113" s="337" t="s">
        <v>35</v>
      </c>
      <c r="E113" s="337"/>
      <c r="F113" s="337"/>
      <c r="G113" s="278"/>
      <c r="H113" s="278"/>
      <c r="I113" s="278"/>
      <c r="J113" s="293"/>
      <c r="K113" s="351"/>
      <c r="L113" s="350"/>
      <c r="M113" s="288"/>
      <c r="N113" s="271"/>
      <c r="R113" s="265"/>
      <c r="S113" s="267"/>
      <c r="AE113" s="265"/>
    </row>
    <row r="114" spans="1:31" ht="25" customHeight="1" thickTop="1" thickBot="1">
      <c r="A114" s="278"/>
      <c r="B114" s="333"/>
      <c r="C114" s="278"/>
      <c r="D114" s="337" t="s">
        <v>33</v>
      </c>
      <c r="E114" s="338" t="s">
        <v>190</v>
      </c>
      <c r="F114" s="338"/>
      <c r="G114" s="338"/>
      <c r="H114" s="338"/>
      <c r="I114" s="338"/>
      <c r="J114" s="298" t="s">
        <v>191</v>
      </c>
      <c r="K114" s="346">
        <f>IF(AND(RED_BLANK_RQD="y",OR(RED_BLANK_VER=2,RED_BLANK_VER=3)),
         VLOOKUP("RB ver 2 &amp; 3",VSYNC_WIDTH_TABLE,2,FALSE),
         IF(ASPECT_RATIO&lt;&gt;"Not Standard",
                  VLOOKUP(ASPECT_RATIO,VSYNC_WIDTH_TABLE,2,FALSE),
                  VLOOKUP("Custom",VSYNC_WIDTH_TABLE,2,FALSE)))</f>
        <v>4</v>
      </c>
      <c r="L114" s="296" t="s">
        <v>187</v>
      </c>
      <c r="M114" s="288"/>
      <c r="N114" s="271"/>
      <c r="R114" s="265"/>
      <c r="S114" s="267"/>
      <c r="AE114" s="265"/>
    </row>
    <row r="115" spans="1:31" ht="25" customHeight="1" thickTop="1" thickBot="1">
      <c r="A115" s="278"/>
      <c r="B115" s="333"/>
      <c r="C115" s="278"/>
      <c r="D115" s="338" t="s">
        <v>33</v>
      </c>
      <c r="E115" s="338" t="s">
        <v>192</v>
      </c>
      <c r="F115" s="338"/>
      <c r="G115" s="338"/>
      <c r="H115" s="338"/>
      <c r="I115" s="338"/>
      <c r="J115" s="298" t="s">
        <v>193</v>
      </c>
      <c r="K115" s="290">
        <v>8</v>
      </c>
      <c r="L115" s="349"/>
      <c r="M115" s="288" t="str">
        <f>IF(K115&lt;&gt;8,"WARNING: Required HSYNC Width value is 8","")</f>
        <v/>
      </c>
      <c r="N115" s="271"/>
      <c r="R115" s="265"/>
      <c r="S115" s="267"/>
      <c r="AE115" s="265"/>
    </row>
    <row r="116" spans="1:31" ht="25" customHeight="1" thickTop="1">
      <c r="A116" s="278"/>
      <c r="B116" s="333"/>
      <c r="C116" s="278"/>
      <c r="D116" s="337"/>
      <c r="E116" s="337"/>
      <c r="F116" s="337"/>
      <c r="G116" s="278"/>
      <c r="H116" s="278"/>
      <c r="I116" s="278"/>
      <c r="J116" s="293"/>
      <c r="K116" s="348"/>
      <c r="L116" s="306"/>
      <c r="M116" s="288"/>
      <c r="N116" s="271"/>
      <c r="R116" s="265"/>
      <c r="S116" s="267"/>
      <c r="AE116" s="265"/>
    </row>
    <row r="117" spans="1:31" ht="25" customHeight="1">
      <c r="A117" s="278"/>
      <c r="B117" s="333"/>
      <c r="C117" s="278"/>
      <c r="D117" s="337"/>
      <c r="E117" s="337"/>
      <c r="F117" s="337"/>
      <c r="G117" s="278"/>
      <c r="H117" s="278"/>
      <c r="I117" s="278"/>
      <c r="J117" s="293"/>
      <c r="K117" s="348"/>
      <c r="L117" s="306"/>
      <c r="M117" s="288"/>
      <c r="N117" s="271"/>
      <c r="R117" s="265"/>
      <c r="S117" s="267"/>
      <c r="AE117" s="265"/>
    </row>
    <row r="118" spans="1:31" ht="25" customHeight="1">
      <c r="A118" s="278"/>
      <c r="B118" s="333"/>
      <c r="C118" s="326" t="s">
        <v>246</v>
      </c>
      <c r="D118" s="337"/>
      <c r="E118" s="337"/>
      <c r="F118" s="337"/>
      <c r="G118" s="278"/>
      <c r="H118" s="278"/>
      <c r="I118" s="278"/>
      <c r="J118" s="293"/>
      <c r="K118" s="348"/>
      <c r="L118" s="306"/>
      <c r="M118" s="288"/>
      <c r="N118" s="271"/>
      <c r="R118" s="265"/>
      <c r="S118" s="267"/>
      <c r="AE118" s="265"/>
    </row>
    <row r="119" spans="1:31" ht="25" customHeight="1">
      <c r="A119" s="278"/>
      <c r="B119" s="333"/>
      <c r="C119" s="278" t="s">
        <v>0</v>
      </c>
      <c r="D119" s="337"/>
      <c r="E119" s="337"/>
      <c r="F119" s="337"/>
      <c r="G119" s="278"/>
      <c r="H119" s="278"/>
      <c r="I119" s="278"/>
      <c r="J119" s="293"/>
      <c r="K119" s="348"/>
      <c r="L119" s="306"/>
      <c r="M119" s="288"/>
      <c r="N119" s="271"/>
      <c r="R119" s="265"/>
      <c r="S119" s="267"/>
      <c r="AE119" s="265"/>
    </row>
    <row r="120" spans="1:31" ht="25" customHeight="1" thickBot="1">
      <c r="A120" s="278"/>
      <c r="B120" s="333"/>
      <c r="C120" s="278"/>
      <c r="D120" s="622" t="s">
        <v>36</v>
      </c>
      <c r="E120" s="622"/>
      <c r="F120" s="622"/>
      <c r="G120" s="622"/>
      <c r="H120" s="622"/>
      <c r="I120" s="622"/>
      <c r="J120" s="622"/>
      <c r="K120" s="348"/>
      <c r="L120" s="306"/>
      <c r="M120" s="288"/>
      <c r="N120" s="271"/>
      <c r="P120" s="277"/>
      <c r="Q120" s="272"/>
      <c r="R120" s="265"/>
      <c r="S120" s="267"/>
      <c r="AE120" s="265"/>
    </row>
    <row r="121" spans="1:31" ht="25" customHeight="1" thickTop="1" thickBot="1">
      <c r="A121" s="278"/>
      <c r="B121" s="333"/>
      <c r="C121" s="278"/>
      <c r="D121" s="337" t="s">
        <v>33</v>
      </c>
      <c r="E121" s="624" t="s">
        <v>198</v>
      </c>
      <c r="F121" s="624"/>
      <c r="G121" s="624"/>
      <c r="H121" s="624"/>
      <c r="I121" s="624"/>
      <c r="J121" s="298" t="s">
        <v>199</v>
      </c>
      <c r="K121" s="290">
        <v>550</v>
      </c>
      <c r="L121" s="296" t="s">
        <v>202</v>
      </c>
      <c r="M121" s="288" t="str">
        <f>IF(K121&lt;&gt;550,"WARNING: Required MIN_VSYNC_BP value is 550","")</f>
        <v/>
      </c>
      <c r="N121" s="271"/>
      <c r="P121" s="277"/>
      <c r="Q121" s="272"/>
      <c r="R121" s="265"/>
      <c r="S121" s="267"/>
      <c r="AE121" s="265"/>
    </row>
    <row r="122" spans="1:31" ht="25" customHeight="1" thickTop="1" thickBot="1">
      <c r="A122" s="278"/>
      <c r="B122" s="333"/>
      <c r="C122" s="278"/>
      <c r="D122" s="278"/>
      <c r="E122" s="278"/>
      <c r="F122" s="278"/>
      <c r="G122" s="278"/>
      <c r="H122" s="278"/>
      <c r="I122" s="337"/>
      <c r="J122" s="278"/>
      <c r="K122" s="344"/>
      <c r="L122" s="347"/>
      <c r="M122" s="288"/>
      <c r="N122" s="271"/>
      <c r="P122" s="277"/>
      <c r="Q122" s="272"/>
      <c r="R122" s="265"/>
      <c r="S122" s="267"/>
      <c r="AE122" s="265"/>
    </row>
    <row r="123" spans="1:31" ht="25" customHeight="1" thickTop="1" thickBot="1">
      <c r="A123" s="278"/>
      <c r="B123" s="333"/>
      <c r="C123" s="278"/>
      <c r="D123" s="337" t="s">
        <v>33</v>
      </c>
      <c r="E123" s="630" t="s">
        <v>212</v>
      </c>
      <c r="F123" s="630"/>
      <c r="G123" s="630"/>
      <c r="H123" s="630"/>
      <c r="I123" s="630"/>
      <c r="J123" s="298" t="s">
        <v>200</v>
      </c>
      <c r="K123" s="346">
        <v>7</v>
      </c>
      <c r="L123" s="296" t="s">
        <v>188</v>
      </c>
      <c r="M123" s="288" t="str">
        <f>IF(K123&lt;&gt;7,"WARNING: Required MIN_VBPORCH value is 7","")</f>
        <v/>
      </c>
      <c r="N123" s="271"/>
      <c r="P123" s="277"/>
      <c r="Q123" s="272"/>
      <c r="R123" s="265"/>
      <c r="S123" s="267"/>
      <c r="AE123" s="265"/>
    </row>
    <row r="124" spans="1:31" ht="25" customHeight="1" thickTop="1" thickBot="1">
      <c r="A124" s="278"/>
      <c r="B124" s="333"/>
      <c r="C124" s="278"/>
      <c r="D124" s="337" t="s">
        <v>33</v>
      </c>
      <c r="E124" s="624" t="s">
        <v>247</v>
      </c>
      <c r="F124" s="624"/>
      <c r="G124" s="624"/>
      <c r="H124" s="624"/>
      <c r="I124" s="624"/>
      <c r="J124" s="291" t="s">
        <v>201</v>
      </c>
      <c r="K124" s="346">
        <v>3</v>
      </c>
      <c r="L124" s="296" t="s">
        <v>189</v>
      </c>
      <c r="M124" s="288" t="str">
        <f>IF(K124&lt;&gt;3,"WARNING: Required MIN_V_FPORCH value is 3","")</f>
        <v/>
      </c>
      <c r="N124" s="271"/>
      <c r="P124" s="277"/>
      <c r="Q124" s="272"/>
      <c r="R124" s="265"/>
      <c r="S124" s="267"/>
      <c r="AE124" s="265"/>
    </row>
    <row r="125" spans="1:31" ht="25" customHeight="1" thickTop="1">
      <c r="A125" s="278"/>
      <c r="B125" s="333"/>
      <c r="C125" s="278"/>
      <c r="D125" s="278"/>
      <c r="E125" s="278"/>
      <c r="F125" s="278"/>
      <c r="G125" s="278"/>
      <c r="H125" s="278"/>
      <c r="I125" s="278"/>
      <c r="J125" s="293"/>
      <c r="K125" s="293"/>
      <c r="L125" s="293"/>
      <c r="M125" s="288"/>
      <c r="N125" s="271"/>
      <c r="P125" s="277"/>
      <c r="Q125" s="272"/>
      <c r="R125" s="265"/>
      <c r="S125" s="267"/>
      <c r="AE125" s="265"/>
    </row>
    <row r="126" spans="1:31" ht="23">
      <c r="A126" s="278"/>
      <c r="B126" s="333"/>
      <c r="C126" s="326" t="s">
        <v>37</v>
      </c>
      <c r="D126" s="278"/>
      <c r="E126" s="278"/>
      <c r="F126" s="278"/>
      <c r="G126" s="278"/>
      <c r="H126" s="278"/>
      <c r="I126" s="278"/>
      <c r="J126" s="293"/>
      <c r="K126" s="293"/>
      <c r="L126" s="293"/>
      <c r="M126" s="288"/>
      <c r="N126" s="271"/>
      <c r="P126" s="277"/>
      <c r="Q126" s="272"/>
      <c r="R126" s="265"/>
      <c r="S126" s="267"/>
      <c r="AE126" s="265"/>
    </row>
    <row r="127" spans="1:31" ht="23.5" customHeight="1">
      <c r="A127" s="278"/>
      <c r="B127" s="333"/>
      <c r="C127" s="278" t="s">
        <v>0</v>
      </c>
      <c r="D127" s="278"/>
      <c r="E127" s="278"/>
      <c r="F127" s="278"/>
      <c r="G127" s="278"/>
      <c r="H127" s="278"/>
      <c r="I127" s="278"/>
      <c r="J127" s="293"/>
      <c r="K127" s="293"/>
      <c r="L127" s="293"/>
      <c r="M127" s="288"/>
      <c r="N127" s="271"/>
      <c r="P127" s="277"/>
      <c r="Q127" s="272"/>
      <c r="R127" s="265"/>
      <c r="S127" s="267"/>
      <c r="AE127" s="265"/>
    </row>
    <row r="128" spans="1:31" ht="20">
      <c r="A128" s="278"/>
      <c r="B128" s="333"/>
      <c r="C128" s="278"/>
      <c r="D128" s="337" t="s">
        <v>38</v>
      </c>
      <c r="E128" s="337"/>
      <c r="F128" s="337"/>
      <c r="G128" s="337"/>
      <c r="H128" s="337"/>
      <c r="I128" s="337"/>
      <c r="J128" s="341"/>
      <c r="K128" s="341"/>
      <c r="L128" s="341"/>
      <c r="M128" s="288"/>
      <c r="N128" s="271"/>
      <c r="P128" s="277"/>
      <c r="Q128" s="272"/>
      <c r="R128" s="265"/>
      <c r="S128" s="267"/>
      <c r="AE128" s="265"/>
    </row>
    <row r="129" spans="1:36" ht="25" customHeight="1">
      <c r="A129" s="278"/>
      <c r="B129" s="333"/>
      <c r="C129" s="278"/>
      <c r="D129" s="337" t="s">
        <v>39</v>
      </c>
      <c r="E129" s="337"/>
      <c r="F129" s="337"/>
      <c r="G129" s="337"/>
      <c r="H129" s="337"/>
      <c r="I129" s="337"/>
      <c r="J129" s="339"/>
      <c r="K129" s="339"/>
      <c r="L129" s="339"/>
      <c r="M129" s="288"/>
      <c r="P129" s="277"/>
      <c r="Q129" s="272"/>
      <c r="R129" s="265"/>
      <c r="S129" s="267"/>
      <c r="AE129" s="265"/>
    </row>
    <row r="130" spans="1:36" ht="25" customHeight="1" thickBot="1">
      <c r="A130" s="278"/>
      <c r="B130" s="333"/>
      <c r="C130" s="278"/>
      <c r="D130" s="345" t="s">
        <v>40</v>
      </c>
      <c r="E130" s="337"/>
      <c r="F130" s="337"/>
      <c r="G130" s="337"/>
      <c r="H130" s="337"/>
      <c r="I130" s="337"/>
      <c r="J130" s="341"/>
      <c r="K130" s="339"/>
      <c r="L130" s="339"/>
      <c r="M130" s="288"/>
      <c r="P130" s="277"/>
      <c r="Q130" s="272"/>
      <c r="R130" s="265"/>
      <c r="S130" s="267"/>
      <c r="AE130" s="265"/>
    </row>
    <row r="131" spans="1:36" ht="25" customHeight="1" thickTop="1" thickBot="1">
      <c r="B131" s="333"/>
      <c r="C131" s="278"/>
      <c r="D131" s="330"/>
      <c r="E131" s="337" t="s">
        <v>203</v>
      </c>
      <c r="F131" s="344"/>
      <c r="G131" s="344"/>
      <c r="H131" s="343"/>
      <c r="I131" s="278"/>
      <c r="J131" s="291" t="s">
        <v>207</v>
      </c>
      <c r="K131" s="342">
        <v>600</v>
      </c>
      <c r="L131" s="329"/>
      <c r="M131" s="288" t="str">
        <f>IF(K131&lt;&gt;600,"WARNING: Required M value is 600","")</f>
        <v/>
      </c>
      <c r="P131" s="277"/>
      <c r="Q131" s="272"/>
      <c r="R131" s="265"/>
      <c r="S131" s="267"/>
      <c r="AE131" s="265"/>
    </row>
    <row r="132" spans="1:36" ht="25" customHeight="1" thickTop="1" thickBot="1">
      <c r="B132" s="333"/>
      <c r="C132" s="278"/>
      <c r="D132" s="331"/>
      <c r="E132" s="337" t="s">
        <v>204</v>
      </c>
      <c r="F132" s="344"/>
      <c r="G132" s="344"/>
      <c r="H132" s="343"/>
      <c r="I132" s="344"/>
      <c r="J132" s="291" t="s">
        <v>208</v>
      </c>
      <c r="K132" s="342">
        <v>40</v>
      </c>
      <c r="L132" s="329"/>
      <c r="M132" s="288" t="str">
        <f>IF(K132&lt;&gt;40,"WARNING: Required C value is 40","")</f>
        <v/>
      </c>
      <c r="P132" s="277"/>
      <c r="Q132" s="272"/>
      <c r="R132" s="265"/>
      <c r="S132" s="267"/>
      <c r="AE132" s="265"/>
      <c r="AJ132" s="271"/>
    </row>
    <row r="133" spans="1:36" ht="25" customHeight="1" thickTop="1" thickBot="1">
      <c r="B133" s="333"/>
      <c r="C133" s="278"/>
      <c r="D133" s="331"/>
      <c r="E133" s="337" t="s">
        <v>205</v>
      </c>
      <c r="F133" s="337"/>
      <c r="G133" s="337"/>
      <c r="H133" s="343"/>
      <c r="I133" s="337"/>
      <c r="J133" s="291" t="s">
        <v>209</v>
      </c>
      <c r="K133" s="342">
        <v>128</v>
      </c>
      <c r="L133" s="329"/>
      <c r="M133" s="288" t="str">
        <f>IF(K133&lt;&gt;128,"WARNING: Required K value is 128","")</f>
        <v/>
      </c>
      <c r="P133" s="277"/>
      <c r="Q133" s="272"/>
      <c r="R133" s="265"/>
      <c r="S133" s="267"/>
      <c r="AE133" s="265"/>
      <c r="AJ133" s="271"/>
    </row>
    <row r="134" spans="1:36" ht="25" customHeight="1" thickTop="1" thickBot="1">
      <c r="B134" s="333"/>
      <c r="C134" s="278"/>
      <c r="D134" s="331"/>
      <c r="E134" s="337" t="s">
        <v>206</v>
      </c>
      <c r="F134" s="337"/>
      <c r="G134" s="337"/>
      <c r="H134" s="343"/>
      <c r="I134" s="337"/>
      <c r="J134" s="291" t="s">
        <v>210</v>
      </c>
      <c r="K134" s="342">
        <v>20</v>
      </c>
      <c r="L134" s="329"/>
      <c r="M134" s="288" t="str">
        <f>IF(K134&lt;&gt;20,"WARNING: Required J value is 20","")</f>
        <v/>
      </c>
      <c r="R134" s="265"/>
      <c r="S134" s="267"/>
      <c r="AE134" s="265"/>
      <c r="AJ134" s="271"/>
    </row>
    <row r="135" spans="1:36" ht="25" customHeight="1" thickTop="1" thickBot="1">
      <c r="B135" s="333"/>
      <c r="C135" s="278"/>
      <c r="D135" s="331"/>
      <c r="E135" s="337"/>
      <c r="F135" s="337"/>
      <c r="G135" s="337"/>
      <c r="H135" s="337"/>
      <c r="I135" s="337"/>
      <c r="J135" s="341"/>
      <c r="K135" s="329"/>
      <c r="L135" s="329"/>
      <c r="M135" s="288"/>
      <c r="R135" s="265"/>
      <c r="S135" s="267"/>
      <c r="AE135" s="265"/>
    </row>
    <row r="136" spans="1:36" ht="25" customHeight="1" thickTop="1" thickBot="1">
      <c r="B136" s="333"/>
      <c r="C136" s="278"/>
      <c r="D136" s="331"/>
      <c r="E136" s="337" t="s">
        <v>52</v>
      </c>
      <c r="F136" s="337"/>
      <c r="G136" s="337"/>
      <c r="H136" s="337"/>
      <c r="I136" s="337"/>
      <c r="J136" s="298" t="s">
        <v>211</v>
      </c>
      <c r="K136" s="342">
        <f>GTF_K_VAR/256*GTF_M_VAR</f>
        <v>300</v>
      </c>
      <c r="L136" s="329"/>
      <c r="M136" s="288"/>
      <c r="R136" s="265"/>
      <c r="S136" s="267"/>
      <c r="AE136" s="265"/>
    </row>
    <row r="137" spans="1:36" ht="25" customHeight="1" thickTop="1" thickBot="1">
      <c r="B137" s="333"/>
      <c r="C137" s="278"/>
      <c r="D137" s="331"/>
      <c r="E137" s="337" t="s">
        <v>53</v>
      </c>
      <c r="F137" s="337"/>
      <c r="G137" s="337"/>
      <c r="H137" s="337"/>
      <c r="I137" s="337"/>
      <c r="J137" s="298" t="s">
        <v>211</v>
      </c>
      <c r="K137" s="342">
        <f>((GTF_C_VAR-GTF_J_VAR)*GTF_K_VAR/256)+GTF_J_VAR</f>
        <v>30</v>
      </c>
      <c r="L137" s="329"/>
      <c r="M137" s="288"/>
      <c r="R137" s="265"/>
      <c r="S137" s="267"/>
      <c r="AE137" s="265"/>
    </row>
    <row r="138" spans="1:36" ht="22" thickTop="1">
      <c r="B138" s="333"/>
      <c r="C138" s="278"/>
      <c r="D138" s="331"/>
      <c r="E138" s="330"/>
      <c r="F138" s="337"/>
      <c r="G138" s="337"/>
      <c r="H138" s="337"/>
      <c r="I138" s="337"/>
      <c r="J138" s="341"/>
      <c r="K138" s="340"/>
      <c r="L138" s="329"/>
      <c r="M138" s="288"/>
      <c r="R138" s="265"/>
      <c r="S138" s="267"/>
      <c r="AE138" s="265"/>
    </row>
    <row r="139" spans="1:36" ht="21">
      <c r="B139" s="333"/>
      <c r="C139" s="278"/>
      <c r="D139" s="331"/>
      <c r="E139" s="330"/>
      <c r="F139" s="337"/>
      <c r="G139" s="337"/>
      <c r="H139" s="337"/>
      <c r="I139" s="337"/>
      <c r="J139" s="341"/>
      <c r="K139" s="340"/>
      <c r="L139" s="329"/>
      <c r="M139" s="288"/>
      <c r="R139" s="265"/>
      <c r="S139" s="267"/>
      <c r="AE139" s="265"/>
    </row>
    <row r="140" spans="1:36" ht="24" thickBot="1">
      <c r="B140" s="300" t="s">
        <v>74</v>
      </c>
      <c r="C140" s="278"/>
      <c r="D140" s="331"/>
      <c r="E140" s="330"/>
      <c r="F140" s="337"/>
      <c r="G140" s="337"/>
      <c r="H140" s="337"/>
      <c r="I140" s="337"/>
      <c r="J140" s="341"/>
      <c r="K140" s="340"/>
      <c r="L140" s="329"/>
      <c r="M140" s="288"/>
      <c r="R140" s="265"/>
      <c r="S140" s="267"/>
      <c r="AE140" s="265"/>
    </row>
    <row r="141" spans="1:36" ht="22" thickTop="1" thickBot="1">
      <c r="B141" s="333"/>
      <c r="C141" s="278"/>
      <c r="D141" s="624" t="s">
        <v>168</v>
      </c>
      <c r="E141" s="624"/>
      <c r="F141" s="624"/>
      <c r="G141" s="624"/>
      <c r="H141" s="624"/>
      <c r="I141" s="624"/>
      <c r="J141" s="298" t="s">
        <v>211</v>
      </c>
      <c r="K141" s="334">
        <f>IF(AND((RED_BLANK_RQD="y"),OR((RED_BLANK_VER=2),(RED_BLANK_VER=3))),K143,K142)</f>
        <v>160</v>
      </c>
      <c r="L141" s="537" t="s">
        <v>292</v>
      </c>
      <c r="M141" s="538"/>
      <c r="R141" s="265"/>
      <c r="S141" s="267"/>
      <c r="AE141" s="265"/>
    </row>
    <row r="142" spans="1:36" ht="22" thickTop="1" thickBot="1">
      <c r="B142" s="333"/>
      <c r="C142" s="278"/>
      <c r="D142" s="631" t="s">
        <v>216</v>
      </c>
      <c r="E142" s="631"/>
      <c r="F142" s="631"/>
      <c r="G142" s="631"/>
      <c r="H142" s="631"/>
      <c r="I142" s="631"/>
      <c r="J142" s="291" t="s">
        <v>214</v>
      </c>
      <c r="K142" s="334">
        <v>160</v>
      </c>
      <c r="L142" s="329"/>
      <c r="M142" s="288" t="str">
        <f>IF(K142&lt;&gt;160,"WARNING: Required hblank value is 160","")</f>
        <v/>
      </c>
      <c r="R142" s="265"/>
      <c r="S142" s="267"/>
      <c r="AE142" s="265"/>
    </row>
    <row r="143" spans="1:36" ht="22" thickTop="1" thickBot="1">
      <c r="B143" s="333"/>
      <c r="C143" s="278"/>
      <c r="D143" s="639" t="s">
        <v>217</v>
      </c>
      <c r="E143" s="639"/>
      <c r="F143" s="639"/>
      <c r="G143" s="639"/>
      <c r="H143" s="639"/>
      <c r="I143" s="639"/>
      <c r="J143" s="291" t="s">
        <v>215</v>
      </c>
      <c r="K143" s="334">
        <v>80</v>
      </c>
      <c r="L143" s="329"/>
      <c r="M143" s="288" t="str">
        <f>IF(K143&lt;&gt;80,"WARNING: Required hblank value is 80","")</f>
        <v/>
      </c>
      <c r="R143" s="265"/>
      <c r="S143" s="267"/>
      <c r="AE143" s="265"/>
    </row>
    <row r="144" spans="1:36" ht="22" thickTop="1" thickBot="1">
      <c r="B144" s="333"/>
      <c r="C144" s="278"/>
      <c r="D144" s="624" t="s">
        <v>184</v>
      </c>
      <c r="E144" s="624"/>
      <c r="F144" s="624"/>
      <c r="G144" s="624"/>
      <c r="H144" s="624"/>
      <c r="I144" s="624"/>
      <c r="J144" s="298" t="s">
        <v>193</v>
      </c>
      <c r="K144" s="334">
        <v>8</v>
      </c>
      <c r="L144" s="537" t="s">
        <v>291</v>
      </c>
      <c r="M144" s="538" t="str">
        <f>IF(K144&lt;&gt;8,"WARNING: Required H_FRONT_PORCH value is 8","")</f>
        <v/>
      </c>
      <c r="R144" s="265"/>
      <c r="S144" s="267"/>
      <c r="AE144" s="265"/>
    </row>
    <row r="145" spans="2:31" ht="22" thickTop="1" thickBot="1">
      <c r="B145" s="333"/>
      <c r="C145" s="278"/>
      <c r="D145" s="624" t="s">
        <v>219</v>
      </c>
      <c r="E145" s="624"/>
      <c r="F145" s="624"/>
      <c r="G145" s="624"/>
      <c r="H145" s="624"/>
      <c r="I145" s="624"/>
      <c r="J145" s="298" t="s">
        <v>218</v>
      </c>
      <c r="K145" s="334">
        <v>32</v>
      </c>
      <c r="L145" s="537" t="s">
        <v>293</v>
      </c>
      <c r="M145" s="538" t="str">
        <f>IF(K145&lt;&gt;32,"WARNING: Required RB_H_SYNC value is 32","")</f>
        <v/>
      </c>
      <c r="R145" s="265"/>
      <c r="S145" s="267"/>
      <c r="AE145" s="265"/>
    </row>
    <row r="146" spans="2:31" ht="25" thickTop="1" thickBot="1">
      <c r="B146" s="333"/>
      <c r="C146" s="278"/>
      <c r="D146" s="339"/>
      <c r="E146" s="338"/>
      <c r="F146" s="278"/>
      <c r="G146" s="278"/>
      <c r="H146" s="278"/>
      <c r="I146" s="337"/>
      <c r="J146" s="278"/>
      <c r="K146" s="336"/>
      <c r="L146" s="329"/>
      <c r="M146" s="288"/>
      <c r="R146" s="265"/>
      <c r="S146" s="267"/>
      <c r="AE146" s="265"/>
    </row>
    <row r="147" spans="2:31" ht="22" thickTop="1" thickBot="1">
      <c r="B147" s="333"/>
      <c r="C147" s="278"/>
      <c r="D147" s="624" t="s">
        <v>228</v>
      </c>
      <c r="E147" s="624"/>
      <c r="F147" s="624"/>
      <c r="G147" s="624"/>
      <c r="H147" s="624"/>
      <c r="I147" s="624"/>
      <c r="J147" s="291" t="s">
        <v>220</v>
      </c>
      <c r="K147" s="290">
        <v>460</v>
      </c>
      <c r="L147" s="537" t="s">
        <v>294</v>
      </c>
      <c r="M147" s="538" t="str">
        <f>IF(K147&lt;&gt;460,"WARNING: Required RB_MIN_VBLANK value is 460","")</f>
        <v/>
      </c>
      <c r="R147" s="265"/>
      <c r="S147" s="267"/>
      <c r="AE147" s="265"/>
    </row>
    <row r="148" spans="2:31" ht="22" thickTop="1" thickBot="1">
      <c r="B148" s="333"/>
      <c r="C148" s="278"/>
      <c r="D148" s="624" t="s">
        <v>170</v>
      </c>
      <c r="E148" s="624"/>
      <c r="F148" s="624"/>
      <c r="G148" s="624"/>
      <c r="H148" s="624"/>
      <c r="I148" s="624"/>
      <c r="J148" s="298" t="s">
        <v>211</v>
      </c>
      <c r="K148" s="334">
        <f>IF(AND((RED_BLANK_RQD="y"),OR((RED_BLANK_VER=2),(RED_BLANK_VER=3))),K150,K149)</f>
        <v>3</v>
      </c>
      <c r="L148" s="296" t="s">
        <v>235</v>
      </c>
      <c r="M148" s="288"/>
      <c r="R148" s="265"/>
      <c r="S148" s="267"/>
      <c r="AE148" s="265"/>
    </row>
    <row r="149" spans="2:31" ht="22" thickTop="1" thickBot="1">
      <c r="B149" s="333"/>
      <c r="C149" s="278"/>
      <c r="D149" s="631" t="s">
        <v>222</v>
      </c>
      <c r="E149" s="631"/>
      <c r="F149" s="631"/>
      <c r="G149" s="631"/>
      <c r="H149" s="631"/>
      <c r="I149" s="631"/>
      <c r="J149" s="291" t="s">
        <v>201</v>
      </c>
      <c r="K149" s="334">
        <v>3</v>
      </c>
      <c r="L149" s="329"/>
      <c r="M149" s="288" t="str">
        <f>IF(K149&lt;&gt;3,"WARNING: Required RB_V_FPORCH value is 3","")</f>
        <v/>
      </c>
      <c r="R149" s="265"/>
      <c r="S149" s="267"/>
      <c r="AE149" s="265"/>
    </row>
    <row r="150" spans="2:31" ht="22" thickTop="1" thickBot="1">
      <c r="B150" s="333"/>
      <c r="C150" s="278"/>
      <c r="D150" s="631" t="s">
        <v>223</v>
      </c>
      <c r="E150" s="631"/>
      <c r="F150" s="631"/>
      <c r="G150" s="631"/>
      <c r="H150" s="631"/>
      <c r="I150" s="631"/>
      <c r="J150" s="291" t="s">
        <v>221</v>
      </c>
      <c r="K150" s="334">
        <v>1</v>
      </c>
      <c r="L150" s="329"/>
      <c r="M150" s="288" t="str">
        <f>IF(K150&lt;&gt;1,"WARNING: Required RB_V_FPORCH value is 1","")</f>
        <v/>
      </c>
      <c r="R150" s="265"/>
      <c r="S150" s="267"/>
      <c r="W150" s="265"/>
      <c r="X150" s="267"/>
      <c r="AE150" s="265"/>
    </row>
    <row r="151" spans="2:31" ht="25" thickTop="1" thickBot="1">
      <c r="B151" s="333"/>
      <c r="C151" s="278"/>
      <c r="K151" s="335"/>
      <c r="L151" s="329"/>
      <c r="M151" s="288"/>
      <c r="R151" s="265"/>
      <c r="S151" s="267"/>
      <c r="W151" s="265"/>
      <c r="X151" s="267"/>
      <c r="Y151" s="286"/>
      <c r="AE151" s="265"/>
    </row>
    <row r="152" spans="2:31" ht="25" thickTop="1" thickBot="1">
      <c r="B152" s="333"/>
      <c r="C152" s="278"/>
      <c r="D152" s="624" t="s">
        <v>171</v>
      </c>
      <c r="E152" s="624"/>
      <c r="F152" s="624"/>
      <c r="G152" s="624"/>
      <c r="H152" s="624"/>
      <c r="I152" s="624"/>
      <c r="J152" s="298" t="s">
        <v>211</v>
      </c>
      <c r="K152" s="334">
        <f>IF(AND((RED_BLANK_RQD="y"),OR((RED_BLANK_VER=2),(RED_BLANK_VER=3))),K154,K153)</f>
        <v>7</v>
      </c>
      <c r="L152" s="296" t="s">
        <v>236</v>
      </c>
      <c r="M152" s="288"/>
      <c r="O152" s="265"/>
      <c r="P152" s="267"/>
      <c r="Q152" s="270"/>
      <c r="R152" s="265"/>
      <c r="S152" s="267"/>
      <c r="W152" s="286"/>
      <c r="X152" s="316"/>
      <c r="Y152" s="286"/>
      <c r="AE152" s="265"/>
    </row>
    <row r="153" spans="2:31" ht="25" thickTop="1" thickBot="1">
      <c r="B153" s="333"/>
      <c r="C153" s="278"/>
      <c r="D153" s="631" t="s">
        <v>225</v>
      </c>
      <c r="E153" s="631"/>
      <c r="F153" s="631"/>
      <c r="G153" s="631"/>
      <c r="H153" s="631"/>
      <c r="I153" s="631"/>
      <c r="J153" s="291" t="s">
        <v>200</v>
      </c>
      <c r="K153" s="334">
        <v>7</v>
      </c>
      <c r="L153" s="329"/>
      <c r="M153" s="288" t="str">
        <f>IF(K153&lt;&gt;7,"WARNING: Required RB_MIN_V_BPORCH value is 7","")</f>
        <v/>
      </c>
      <c r="O153" s="265"/>
      <c r="P153" s="267"/>
      <c r="Q153" s="270"/>
      <c r="R153" s="265"/>
      <c r="S153" s="265"/>
      <c r="T153" s="267"/>
      <c r="W153" s="286"/>
      <c r="X153" s="316"/>
      <c r="Y153" s="286"/>
      <c r="AE153" s="265"/>
    </row>
    <row r="154" spans="2:31" ht="25" thickTop="1" thickBot="1">
      <c r="B154" s="333"/>
      <c r="C154" s="278"/>
      <c r="D154" s="631" t="s">
        <v>248</v>
      </c>
      <c r="E154" s="631"/>
      <c r="F154" s="631"/>
      <c r="G154" s="631"/>
      <c r="H154" s="631"/>
      <c r="I154" s="631"/>
      <c r="J154" s="291" t="s">
        <v>224</v>
      </c>
      <c r="K154" s="334">
        <v>6</v>
      </c>
      <c r="L154" s="329"/>
      <c r="M154" s="288" t="str">
        <f>IF(K154&lt;&gt;6,"WARNING: Required RB_MIN_V_BPORCH value is 6","")</f>
        <v/>
      </c>
      <c r="O154" s="286"/>
      <c r="P154" s="316"/>
      <c r="Q154" s="317"/>
      <c r="R154" s="265"/>
      <c r="S154" s="265"/>
      <c r="T154" s="267"/>
      <c r="V154" s="286"/>
      <c r="W154" s="286"/>
      <c r="X154" s="316"/>
      <c r="Y154" s="286"/>
      <c r="AE154" s="265"/>
    </row>
    <row r="155" spans="2:31" ht="24" thickTop="1">
      <c r="B155" s="333"/>
      <c r="C155" s="278"/>
      <c r="D155" s="331"/>
      <c r="E155" s="331"/>
      <c r="F155" s="278"/>
      <c r="G155" s="278"/>
      <c r="H155" s="278"/>
      <c r="I155" s="330"/>
      <c r="K155" s="332"/>
      <c r="L155" s="329"/>
      <c r="M155" s="288"/>
      <c r="O155" s="286"/>
      <c r="P155" s="316"/>
      <c r="Q155" s="317"/>
      <c r="R155" s="265"/>
      <c r="S155" s="286"/>
      <c r="T155" s="316"/>
      <c r="U155" s="286"/>
      <c r="V155" s="286"/>
      <c r="W155" s="286"/>
      <c r="X155" s="316"/>
      <c r="Y155" s="286"/>
      <c r="AE155" s="265"/>
    </row>
    <row r="156" spans="2:31" ht="24" thickBot="1">
      <c r="B156" s="300" t="s">
        <v>159</v>
      </c>
      <c r="C156" s="278"/>
      <c r="D156" s="331"/>
      <c r="E156" s="331"/>
      <c r="F156" s="278"/>
      <c r="G156" s="278"/>
      <c r="H156" s="278"/>
      <c r="I156" s="330"/>
      <c r="L156" s="329"/>
      <c r="M156" s="288"/>
      <c r="O156" s="286"/>
      <c r="P156" s="316"/>
      <c r="Q156" s="317"/>
      <c r="R156" s="265"/>
      <c r="S156" s="286"/>
      <c r="T156" s="316"/>
      <c r="U156" s="286"/>
      <c r="V156" s="286"/>
      <c r="W156" s="286"/>
      <c r="X156" s="316"/>
      <c r="Y156" s="286"/>
      <c r="AE156" s="265"/>
    </row>
    <row r="157" spans="2:31" ht="25" thickTop="1" thickBot="1">
      <c r="B157" s="300"/>
      <c r="C157" s="278"/>
      <c r="D157" s="622" t="s">
        <v>180</v>
      </c>
      <c r="E157" s="622"/>
      <c r="F157" s="622"/>
      <c r="G157" s="622"/>
      <c r="H157" s="622"/>
      <c r="I157" s="622"/>
      <c r="J157" s="298" t="s">
        <v>211</v>
      </c>
      <c r="K157" s="290">
        <f>IF(AND((RED_BLANK_RQD="y"),OR((RED_BLANK_VER=2),(RED_BLANK_VER=3))),FINE_CLOCK_STEP,COARSE_CLOCK_STEP)</f>
        <v>0.25</v>
      </c>
      <c r="L157" s="541" t="s">
        <v>237</v>
      </c>
      <c r="M157" s="542"/>
      <c r="O157" s="286"/>
      <c r="P157" s="316"/>
      <c r="Q157" s="317"/>
      <c r="R157" s="265"/>
      <c r="S157" s="286"/>
      <c r="T157" s="316"/>
      <c r="U157" s="286"/>
      <c r="V157" s="286"/>
      <c r="W157" s="286"/>
      <c r="X157" s="316"/>
      <c r="Y157" s="286"/>
      <c r="AE157" s="265"/>
    </row>
    <row r="158" spans="2:31" ht="25" thickTop="1" thickBot="1">
      <c r="B158" s="327"/>
      <c r="C158" s="278"/>
      <c r="D158" s="631" t="s">
        <v>233</v>
      </c>
      <c r="E158" s="631"/>
      <c r="F158" s="631"/>
      <c r="G158" s="631"/>
      <c r="H158" s="631"/>
      <c r="I158" s="631"/>
      <c r="J158" s="291" t="s">
        <v>226</v>
      </c>
      <c r="K158" s="290">
        <v>0.25</v>
      </c>
      <c r="L158" s="296" t="s">
        <v>238</v>
      </c>
      <c r="M158" s="288" t="str">
        <f>IF(K158&lt;&gt;0.25,"WARNING: Required COARSE_CLOCK_STEP value is 0.25","")</f>
        <v/>
      </c>
      <c r="O158" s="286"/>
      <c r="P158" s="316"/>
      <c r="Q158" s="317"/>
      <c r="R158" s="266"/>
      <c r="S158" s="286"/>
      <c r="T158" s="316"/>
      <c r="U158" s="286"/>
      <c r="V158" s="286"/>
      <c r="W158" s="286"/>
      <c r="X158" s="316"/>
      <c r="Y158" s="286"/>
      <c r="AE158" s="265"/>
    </row>
    <row r="159" spans="2:31" ht="25" thickTop="1" thickBot="1">
      <c r="B159" s="328"/>
      <c r="C159" s="278"/>
      <c r="D159" s="640" t="s">
        <v>234</v>
      </c>
      <c r="E159" s="640"/>
      <c r="F159" s="640"/>
      <c r="G159" s="640"/>
      <c r="H159" s="640"/>
      <c r="I159" s="640"/>
      <c r="J159" s="291" t="s">
        <v>227</v>
      </c>
      <c r="K159" s="290">
        <v>1E-3</v>
      </c>
      <c r="L159" s="296" t="s">
        <v>239</v>
      </c>
      <c r="M159" s="288" t="str">
        <f>IF(K159&lt;&gt;0.001,"WARNING: Required FINE_CLOCK_STEP value is 0.001","")</f>
        <v/>
      </c>
      <c r="O159" s="286"/>
      <c r="P159" s="316"/>
      <c r="Q159" s="317"/>
      <c r="R159" s="266"/>
      <c r="S159" s="286"/>
      <c r="T159" s="316"/>
      <c r="U159" s="286"/>
      <c r="V159" s="286"/>
      <c r="W159" s="286"/>
      <c r="X159" s="316"/>
      <c r="Y159" s="286"/>
      <c r="AE159" s="265"/>
    </row>
    <row r="160" spans="2:31" ht="24" thickTop="1">
      <c r="B160" s="328"/>
      <c r="C160" s="278"/>
      <c r="D160" s="278"/>
      <c r="E160" s="278"/>
      <c r="F160" s="278"/>
      <c r="G160" s="278"/>
      <c r="H160" s="278"/>
      <c r="I160" s="278"/>
      <c r="J160" s="278"/>
      <c r="K160" s="293"/>
      <c r="L160" s="293"/>
      <c r="M160" s="288"/>
      <c r="O160" s="286"/>
      <c r="P160" s="316"/>
      <c r="Q160" s="317"/>
      <c r="R160" s="303"/>
      <c r="S160" s="286"/>
      <c r="T160" s="316"/>
      <c r="U160" s="286"/>
      <c r="V160" s="286"/>
      <c r="W160" s="286"/>
      <c r="X160" s="316"/>
      <c r="Y160" s="286"/>
      <c r="AE160" s="265"/>
    </row>
    <row r="161" spans="1:31" ht="23">
      <c r="A161" s="286"/>
      <c r="B161" s="300" t="s">
        <v>162</v>
      </c>
      <c r="C161" s="286"/>
      <c r="D161" s="286"/>
      <c r="E161" s="286"/>
      <c r="F161" s="286"/>
      <c r="G161" s="286"/>
      <c r="H161" s="286"/>
      <c r="I161" s="286"/>
      <c r="J161" s="286"/>
      <c r="K161" s="303"/>
      <c r="L161" s="306"/>
      <c r="M161" s="295"/>
      <c r="O161" s="286"/>
      <c r="P161" s="316"/>
      <c r="Q161" s="317"/>
      <c r="R161" s="303"/>
      <c r="S161" s="286"/>
      <c r="T161" s="316"/>
      <c r="U161" s="286"/>
      <c r="V161" s="286"/>
      <c r="W161" s="286"/>
      <c r="X161" s="316"/>
      <c r="Y161" s="286"/>
      <c r="AE161" s="265"/>
    </row>
    <row r="162" spans="1:31" ht="24" thickBot="1">
      <c r="A162" s="286"/>
      <c r="B162" s="327"/>
      <c r="C162" s="286"/>
      <c r="D162" s="326" t="s">
        <v>165</v>
      </c>
      <c r="E162" s="286"/>
      <c r="F162" s="286"/>
      <c r="G162" s="326" t="s">
        <v>166</v>
      </c>
      <c r="H162" s="286"/>
      <c r="I162" s="286"/>
      <c r="J162" s="286"/>
      <c r="K162" s="303"/>
      <c r="L162" s="306"/>
      <c r="M162" s="295"/>
      <c r="O162" s="286"/>
      <c r="P162" s="316"/>
      <c r="Q162" s="317"/>
      <c r="R162" s="303"/>
      <c r="S162" s="286"/>
      <c r="T162" s="316"/>
      <c r="U162" s="286"/>
      <c r="V162" s="286"/>
      <c r="W162" s="286"/>
      <c r="X162" s="316"/>
      <c r="Y162" s="286"/>
      <c r="AA162" s="286"/>
      <c r="AB162" s="286"/>
      <c r="AC162" s="286"/>
      <c r="AE162" s="265"/>
    </row>
    <row r="163" spans="1:31" ht="24" customHeight="1" thickBot="1">
      <c r="A163" s="286"/>
      <c r="B163" s="292"/>
      <c r="C163" s="286"/>
      <c r="D163" s="286"/>
      <c r="E163" s="325" t="s">
        <v>167</v>
      </c>
      <c r="F163" s="286"/>
      <c r="G163" s="286"/>
      <c r="H163" s="286"/>
      <c r="I163" s="286"/>
      <c r="J163" s="286"/>
      <c r="K163" s="303"/>
      <c r="L163" s="306"/>
      <c r="M163" s="295"/>
      <c r="N163" s="278"/>
      <c r="O163" s="286"/>
      <c r="P163" s="316"/>
      <c r="Q163" s="317"/>
      <c r="R163" s="303"/>
      <c r="S163" s="286"/>
      <c r="T163" s="316"/>
      <c r="U163" s="286"/>
      <c r="V163" s="286"/>
      <c r="W163" s="286"/>
      <c r="X163" s="316"/>
      <c r="Y163" s="286"/>
      <c r="Z163" s="286"/>
      <c r="AA163" s="286"/>
      <c r="AB163" s="286"/>
      <c r="AC163" s="286"/>
      <c r="AE163" s="265"/>
    </row>
    <row r="164" spans="1:31" ht="24" customHeight="1" thickBot="1">
      <c r="A164" s="286"/>
      <c r="B164" s="292"/>
      <c r="C164" s="286"/>
      <c r="D164" s="324" t="s">
        <v>152</v>
      </c>
      <c r="E164" s="323">
        <v>4</v>
      </c>
      <c r="F164" s="286"/>
      <c r="G164" s="322" t="s">
        <v>163</v>
      </c>
      <c r="H164" s="321" t="s">
        <v>164</v>
      </c>
      <c r="I164" s="320" t="s">
        <v>145</v>
      </c>
      <c r="J164" s="319"/>
      <c r="K164" s="318"/>
      <c r="L164" s="306"/>
      <c r="M164" s="295"/>
      <c r="N164" s="278"/>
      <c r="O164" s="286"/>
      <c r="P164" s="316"/>
      <c r="Q164" s="317"/>
      <c r="R164" s="303"/>
      <c r="S164" s="286"/>
      <c r="T164" s="316"/>
      <c r="U164" s="286"/>
      <c r="V164" s="286"/>
      <c r="W164" s="286"/>
      <c r="X164" s="316"/>
      <c r="Y164" s="286"/>
      <c r="Z164" s="286"/>
      <c r="AA164" s="286"/>
      <c r="AB164" s="286"/>
      <c r="AC164" s="286"/>
      <c r="AE164" s="265"/>
    </row>
    <row r="165" spans="1:31" s="286" customFormat="1" ht="24" customHeight="1">
      <c r="B165" s="292"/>
      <c r="D165" s="310" t="s">
        <v>151</v>
      </c>
      <c r="E165" s="308">
        <f>E164+1</f>
        <v>5</v>
      </c>
      <c r="G165" s="315" t="s">
        <v>149</v>
      </c>
      <c r="H165" s="314" t="s">
        <v>150</v>
      </c>
      <c r="I165" s="636" t="s">
        <v>146</v>
      </c>
      <c r="J165" s="637"/>
      <c r="K165" s="638"/>
      <c r="L165" s="306"/>
      <c r="M165" s="295"/>
      <c r="P165" s="316"/>
      <c r="Q165" s="317"/>
      <c r="R165" s="303"/>
      <c r="T165" s="316"/>
      <c r="X165" s="316"/>
    </row>
    <row r="166" spans="1:31" s="286" customFormat="1" ht="24" customHeight="1" thickBot="1">
      <c r="B166" s="292"/>
      <c r="D166" s="310" t="s">
        <v>153</v>
      </c>
      <c r="E166" s="308">
        <f>E165+1</f>
        <v>6</v>
      </c>
      <c r="F166" s="313"/>
      <c r="G166" s="312" t="s">
        <v>150</v>
      </c>
      <c r="H166" s="311" t="s">
        <v>149</v>
      </c>
      <c r="I166" s="633" t="s">
        <v>183</v>
      </c>
      <c r="J166" s="634"/>
      <c r="K166" s="635"/>
      <c r="L166" s="306"/>
      <c r="M166" s="295"/>
      <c r="P166" s="316"/>
      <c r="Q166" s="317"/>
      <c r="R166" s="303"/>
      <c r="T166" s="316"/>
      <c r="X166" s="316"/>
      <c r="Y166" s="278"/>
    </row>
    <row r="167" spans="1:31" s="286" customFormat="1" ht="24" customHeight="1">
      <c r="B167" s="292"/>
      <c r="D167" s="310" t="s">
        <v>155</v>
      </c>
      <c r="E167" s="308">
        <f>E166+1</f>
        <v>7</v>
      </c>
      <c r="F167" s="307"/>
      <c r="K167" s="303"/>
      <c r="L167" s="306"/>
      <c r="M167" s="295"/>
      <c r="P167" s="316"/>
      <c r="Q167" s="317"/>
      <c r="R167" s="303"/>
      <c r="T167" s="316"/>
      <c r="W167" s="278"/>
      <c r="X167" s="287"/>
      <c r="Y167" s="278"/>
    </row>
    <row r="168" spans="1:31" s="286" customFormat="1" ht="24" customHeight="1">
      <c r="B168" s="292"/>
      <c r="D168" s="310" t="s">
        <v>154</v>
      </c>
      <c r="E168" s="308">
        <v>7</v>
      </c>
      <c r="F168" s="307"/>
      <c r="K168" s="303"/>
      <c r="L168" s="306"/>
      <c r="M168" s="295"/>
      <c r="P168" s="316"/>
      <c r="Q168" s="317"/>
      <c r="R168" s="303"/>
      <c r="T168" s="316"/>
      <c r="W168" s="287"/>
      <c r="X168" s="278"/>
      <c r="Y168" s="278"/>
    </row>
    <row r="169" spans="1:31" s="286" customFormat="1" ht="24" customHeight="1">
      <c r="B169" s="292"/>
      <c r="D169" s="310" t="s">
        <v>182</v>
      </c>
      <c r="E169" s="308">
        <f>E167+1</f>
        <v>8</v>
      </c>
      <c r="F169" s="307"/>
      <c r="K169" s="303"/>
      <c r="L169" s="306"/>
      <c r="M169" s="295"/>
      <c r="O169" s="278"/>
      <c r="P169" s="287"/>
      <c r="Q169" s="294"/>
      <c r="R169" s="303"/>
      <c r="S169" s="278"/>
      <c r="T169" s="287"/>
      <c r="U169" s="278"/>
      <c r="V169" s="278"/>
      <c r="W169" s="287"/>
      <c r="X169" s="278"/>
      <c r="Y169" s="278"/>
    </row>
    <row r="170" spans="1:31" s="286" customFormat="1" ht="24" customHeight="1">
      <c r="B170" s="292"/>
      <c r="D170" s="309" t="s">
        <v>142</v>
      </c>
      <c r="E170" s="308">
        <f>E169+1</f>
        <v>9</v>
      </c>
      <c r="F170" s="307"/>
      <c r="K170" s="303"/>
      <c r="L170" s="306"/>
      <c r="M170" s="295"/>
      <c r="O170" s="287"/>
      <c r="P170" s="294"/>
      <c r="Q170" s="293"/>
      <c r="R170" s="303"/>
      <c r="S170" s="287"/>
      <c r="T170" s="278"/>
      <c r="U170" s="278"/>
      <c r="V170" s="278"/>
      <c r="W170" s="287"/>
      <c r="X170" s="278"/>
      <c r="Y170" s="278"/>
    </row>
    <row r="171" spans="1:31" s="286" customFormat="1" ht="24" customHeight="1" thickBot="1">
      <c r="B171" s="292"/>
      <c r="D171" s="305" t="s">
        <v>141</v>
      </c>
      <c r="E171" s="304">
        <f>E170+1</f>
        <v>10</v>
      </c>
      <c r="K171" s="303"/>
      <c r="L171" s="289"/>
      <c r="M171" s="295"/>
      <c r="O171" s="287"/>
      <c r="P171" s="294"/>
      <c r="Q171" s="293"/>
      <c r="R171" s="303"/>
      <c r="S171" s="287"/>
      <c r="T171" s="278"/>
      <c r="U171" s="278"/>
      <c r="V171" s="278"/>
      <c r="W171" s="287"/>
      <c r="X171" s="278"/>
      <c r="Y171" s="278"/>
    </row>
    <row r="172" spans="1:31" s="286" customFormat="1" ht="24" customHeight="1" thickBot="1">
      <c r="B172" s="292"/>
      <c r="D172" s="302"/>
      <c r="E172" s="301"/>
      <c r="L172" s="289"/>
      <c r="M172" s="295"/>
      <c r="O172" s="287"/>
      <c r="P172" s="294"/>
      <c r="Q172" s="293"/>
      <c r="R172" s="303"/>
      <c r="S172" s="287"/>
      <c r="T172" s="278"/>
      <c r="U172" s="278"/>
      <c r="V172" s="278"/>
      <c r="W172" s="287"/>
      <c r="X172" s="278"/>
      <c r="Y172" s="278"/>
    </row>
    <row r="173" spans="1:31" s="286" customFormat="1" ht="24" customHeight="1" thickTop="1" thickBot="1">
      <c r="B173" s="300" t="s">
        <v>177</v>
      </c>
      <c r="E173" s="299"/>
      <c r="J173" s="298" t="s">
        <v>211</v>
      </c>
      <c r="K173" s="297">
        <f>IF(AND((RED_BLANK_RQD="y"),(RED_BLANK_VER=3)),K175,K174)</f>
        <v>0</v>
      </c>
      <c r="L173" s="537" t="s">
        <v>295</v>
      </c>
      <c r="M173" s="538"/>
      <c r="O173" s="287"/>
      <c r="P173" s="294"/>
      <c r="Q173" s="293"/>
      <c r="R173" s="303"/>
      <c r="S173" s="287"/>
      <c r="T173" s="278"/>
      <c r="U173" s="278"/>
      <c r="V173" s="278"/>
      <c r="W173" s="287"/>
      <c r="X173" s="278"/>
      <c r="Y173" s="278"/>
    </row>
    <row r="174" spans="1:31" s="286" customFormat="1" ht="24" customHeight="1" thickTop="1" thickBot="1">
      <c r="B174" s="292"/>
      <c r="D174" s="632" t="s">
        <v>229</v>
      </c>
      <c r="E174" s="632"/>
      <c r="F174" s="632"/>
      <c r="G174" s="632"/>
      <c r="H174" s="632"/>
      <c r="I174" s="632"/>
      <c r="J174" s="291" t="s">
        <v>231</v>
      </c>
      <c r="K174" s="290">
        <v>0</v>
      </c>
      <c r="L174" s="289"/>
      <c r="M174" s="288" t="str">
        <f>IF(K174&lt;&gt;0,"WARNING: Required V_FIELD_RATE_PPM_ADJUST value is 0","")</f>
        <v/>
      </c>
      <c r="O174" s="287"/>
      <c r="P174" s="294"/>
      <c r="Q174" s="293"/>
      <c r="R174" s="303"/>
      <c r="S174" s="287"/>
      <c r="T174" s="278"/>
      <c r="U174" s="278"/>
      <c r="V174" s="278"/>
      <c r="W174" s="287"/>
      <c r="X174" s="278"/>
      <c r="Y174" s="278"/>
    </row>
    <row r="175" spans="1:31" s="286" customFormat="1" ht="24" customHeight="1" thickTop="1" thickBot="1">
      <c r="B175" s="292"/>
      <c r="D175" s="632" t="s">
        <v>230</v>
      </c>
      <c r="E175" s="632"/>
      <c r="F175" s="632"/>
      <c r="G175" s="632"/>
      <c r="H175" s="632"/>
      <c r="I175" s="632"/>
      <c r="J175" s="291" t="s">
        <v>232</v>
      </c>
      <c r="K175" s="290">
        <f>Q17</f>
        <v>350</v>
      </c>
      <c r="L175" s="289"/>
      <c r="M175" s="288" t="str">
        <f>IF(K175&lt;&gt;350,"WARNING: Required V_FIELD_RATE_PPM_ADJ value is 350","")</f>
        <v/>
      </c>
      <c r="O175" s="287"/>
      <c r="P175" s="294"/>
      <c r="Q175" s="293"/>
      <c r="R175" s="293"/>
      <c r="S175" s="267"/>
      <c r="T175" s="265"/>
      <c r="U175" s="265"/>
      <c r="V175" s="278"/>
      <c r="W175" s="287"/>
      <c r="X175" s="278"/>
      <c r="Y175" s="278"/>
    </row>
    <row r="176" spans="1:31" s="286" customFormat="1" ht="24" customHeight="1" thickTop="1" thickBot="1">
      <c r="A176" s="278"/>
      <c r="B176" s="285"/>
      <c r="C176" s="283"/>
      <c r="D176" s="283"/>
      <c r="E176" s="284"/>
      <c r="F176" s="283"/>
      <c r="G176" s="283"/>
      <c r="H176" s="283"/>
      <c r="I176" s="283"/>
      <c r="J176" s="283"/>
      <c r="K176" s="283"/>
      <c r="L176" s="282"/>
      <c r="M176" s="281"/>
      <c r="O176" s="287"/>
      <c r="P176" s="294"/>
      <c r="Q176" s="293"/>
      <c r="R176" s="278"/>
      <c r="S176" s="267"/>
      <c r="T176" s="265"/>
      <c r="U176" s="265"/>
      <c r="V176" s="278"/>
      <c r="W176" s="287"/>
      <c r="X176" s="278"/>
      <c r="Y176" s="278"/>
    </row>
    <row r="177" spans="1:35" s="286" customFormat="1" ht="24" customHeight="1" thickTop="1">
      <c r="A177" s="280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O177" s="287"/>
      <c r="P177" s="294"/>
      <c r="Q177" s="293"/>
      <c r="R177" s="278"/>
      <c r="S177" s="267"/>
      <c r="T177" s="265"/>
      <c r="U177" s="265"/>
      <c r="V177" s="278"/>
      <c r="W177" s="287"/>
      <c r="X177" s="278"/>
      <c r="Y177" s="278"/>
    </row>
    <row r="178" spans="1:35" s="286" customFormat="1" ht="24" customHeight="1">
      <c r="A178" s="278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O178" s="287"/>
      <c r="P178" s="294"/>
      <c r="Q178" s="293"/>
      <c r="R178" s="278"/>
      <c r="S178" s="267"/>
      <c r="T178" s="265"/>
      <c r="U178" s="265"/>
      <c r="V178" s="278"/>
      <c r="W178" s="267"/>
      <c r="X178" s="265"/>
      <c r="Y178" s="265"/>
      <c r="AA178" s="278"/>
      <c r="AB178" s="278"/>
      <c r="AC178" s="278"/>
    </row>
    <row r="179" spans="1:35" s="286" customFormat="1" ht="24" customHeight="1">
      <c r="A179" s="278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O179" s="267"/>
      <c r="P179" s="270"/>
      <c r="Q179" s="266"/>
      <c r="R179" s="278"/>
      <c r="S179" s="267"/>
      <c r="T179" s="265"/>
      <c r="U179" s="265"/>
      <c r="V179" s="265"/>
      <c r="W179" s="267"/>
      <c r="X179" s="265"/>
      <c r="Y179" s="265"/>
      <c r="Z179" s="278"/>
      <c r="AA179" s="278"/>
      <c r="AB179" s="278"/>
      <c r="AC179" s="278"/>
    </row>
    <row r="180" spans="1:35" s="278" customFormat="1" ht="18"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O180" s="267"/>
      <c r="P180" s="270"/>
      <c r="Q180" s="266"/>
      <c r="S180" s="267"/>
      <c r="T180" s="265"/>
      <c r="U180" s="265"/>
      <c r="V180" s="265"/>
      <c r="W180" s="267"/>
      <c r="X180" s="265"/>
      <c r="Y180" s="265"/>
      <c r="AI180" s="279"/>
    </row>
    <row r="181" spans="1:35" s="278" customFormat="1" ht="18"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O181" s="267"/>
      <c r="P181" s="270"/>
      <c r="Q181" s="266"/>
      <c r="S181" s="267"/>
      <c r="T181" s="265"/>
      <c r="U181" s="265"/>
      <c r="V181" s="265"/>
      <c r="W181" s="267"/>
      <c r="X181" s="265"/>
      <c r="Y181" s="265"/>
      <c r="AI181" s="279"/>
    </row>
    <row r="182" spans="1:35" s="278" customFormat="1" ht="18"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O182" s="267"/>
      <c r="P182" s="270"/>
      <c r="Q182" s="266"/>
      <c r="R182" s="265"/>
      <c r="S182" s="267"/>
      <c r="T182" s="265"/>
      <c r="U182" s="265"/>
      <c r="V182" s="265"/>
      <c r="W182" s="267"/>
      <c r="X182" s="265"/>
      <c r="Y182" s="265"/>
      <c r="AI182" s="279"/>
    </row>
    <row r="183" spans="1:35" s="278" customFormat="1" ht="18"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O183" s="267"/>
      <c r="P183" s="270"/>
      <c r="Q183" s="266"/>
      <c r="R183" s="265"/>
      <c r="S183" s="267"/>
      <c r="T183" s="265"/>
      <c r="U183" s="265"/>
      <c r="V183" s="265"/>
      <c r="W183" s="267"/>
      <c r="X183" s="265"/>
      <c r="Y183" s="265"/>
      <c r="AA183" s="265"/>
      <c r="AB183" s="265"/>
      <c r="AC183" s="265"/>
    </row>
    <row r="184" spans="1:35" s="278" customFormat="1" ht="18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O184" s="267"/>
      <c r="P184" s="270"/>
      <c r="Q184" s="266"/>
      <c r="R184" s="265"/>
      <c r="S184" s="267"/>
      <c r="T184" s="265"/>
      <c r="U184" s="265"/>
      <c r="V184" s="265"/>
      <c r="W184" s="267"/>
      <c r="X184" s="265"/>
      <c r="Y184" s="265"/>
      <c r="Z184" s="265"/>
      <c r="AA184" s="265"/>
      <c r="AB184" s="265"/>
      <c r="AC184" s="265"/>
    </row>
    <row r="185" spans="1:35" s="278" customFormat="1" ht="18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O185" s="267"/>
      <c r="P185" s="270"/>
      <c r="Q185" s="266"/>
      <c r="R185" s="265"/>
      <c r="S185" s="267"/>
      <c r="T185" s="265"/>
      <c r="U185" s="265"/>
      <c r="V185" s="265"/>
      <c r="W185" s="267"/>
      <c r="X185" s="265"/>
      <c r="Y185" s="265"/>
      <c r="Z185" s="265"/>
      <c r="AA185" s="265"/>
      <c r="AB185" s="265"/>
      <c r="AC185" s="265"/>
    </row>
    <row r="186" spans="1:35">
      <c r="R186" s="265"/>
      <c r="S186" s="267"/>
      <c r="AE186" s="265"/>
    </row>
    <row r="187" spans="1:35">
      <c r="R187" s="265"/>
      <c r="S187" s="267"/>
      <c r="AE187" s="265"/>
    </row>
    <row r="188" spans="1:35">
      <c r="R188" s="265"/>
      <c r="S188" s="267"/>
      <c r="AE188" s="265"/>
    </row>
    <row r="189" spans="1:35">
      <c r="R189" s="265"/>
      <c r="S189" s="267"/>
      <c r="AE189" s="265"/>
    </row>
    <row r="190" spans="1:35">
      <c r="R190" s="265"/>
      <c r="S190" s="267"/>
      <c r="AE190" s="265"/>
    </row>
    <row r="191" spans="1:35">
      <c r="R191" s="265"/>
      <c r="S191" s="267"/>
      <c r="AE191" s="265"/>
    </row>
    <row r="192" spans="1:35">
      <c r="R192" s="265"/>
      <c r="S192" s="267"/>
      <c r="AE192" s="265"/>
    </row>
    <row r="193" spans="18:31">
      <c r="R193" s="265"/>
      <c r="S193" s="267"/>
      <c r="AE193" s="265"/>
    </row>
    <row r="194" spans="18:31">
      <c r="R194" s="265"/>
      <c r="S194" s="267"/>
      <c r="AE194" s="265"/>
    </row>
    <row r="195" spans="18:31">
      <c r="R195" s="265"/>
      <c r="S195" s="267"/>
      <c r="AE195" s="265"/>
    </row>
    <row r="196" spans="18:31">
      <c r="R196" s="265"/>
      <c r="S196" s="267"/>
      <c r="AE196" s="265"/>
    </row>
    <row r="197" spans="18:31">
      <c r="R197" s="265"/>
      <c r="S197" s="267"/>
      <c r="AE197" s="265"/>
    </row>
    <row r="198" spans="18:31">
      <c r="R198" s="265"/>
      <c r="S198" s="267"/>
      <c r="AE198" s="265"/>
    </row>
    <row r="199" spans="18:31">
      <c r="R199" s="265"/>
      <c r="S199" s="267"/>
      <c r="AE199" s="265"/>
    </row>
    <row r="200" spans="18:31">
      <c r="R200" s="265"/>
      <c r="S200" s="267"/>
      <c r="AE200" s="265"/>
    </row>
    <row r="201" spans="18:31">
      <c r="R201" s="265"/>
      <c r="S201" s="267"/>
      <c r="AE201" s="265"/>
    </row>
    <row r="202" spans="18:31">
      <c r="R202" s="265"/>
      <c r="S202" s="267"/>
      <c r="AE202" s="265"/>
    </row>
    <row r="203" spans="18:31">
      <c r="R203" s="265"/>
      <c r="S203" s="267"/>
      <c r="AE203" s="265"/>
    </row>
    <row r="204" spans="18:31">
      <c r="R204" s="265"/>
      <c r="S204" s="267"/>
      <c r="AE204" s="265"/>
    </row>
    <row r="205" spans="18:31">
      <c r="R205" s="265"/>
      <c r="S205" s="267"/>
      <c r="AE205" s="265"/>
    </row>
    <row r="206" spans="18:31">
      <c r="R206" s="265"/>
      <c r="S206" s="267"/>
      <c r="AE206" s="265"/>
    </row>
    <row r="207" spans="18:31">
      <c r="R207" s="265"/>
      <c r="S207" s="267"/>
      <c r="AE207" s="265"/>
    </row>
    <row r="208" spans="18:31">
      <c r="R208" s="265"/>
      <c r="S208" s="267"/>
      <c r="AE208" s="265"/>
    </row>
    <row r="209" spans="18:31">
      <c r="R209" s="265"/>
      <c r="S209" s="267"/>
      <c r="AE209" s="265"/>
    </row>
    <row r="210" spans="18:31">
      <c r="R210" s="265"/>
      <c r="S210" s="267"/>
      <c r="AE210" s="265"/>
    </row>
    <row r="211" spans="18:31">
      <c r="R211" s="265"/>
      <c r="S211" s="267"/>
      <c r="AE211" s="265"/>
    </row>
    <row r="212" spans="18:31">
      <c r="R212" s="265"/>
      <c r="S212" s="267"/>
      <c r="AE212" s="265"/>
    </row>
    <row r="213" spans="18:31">
      <c r="R213" s="265"/>
      <c r="S213" s="267"/>
      <c r="AE213" s="265"/>
    </row>
    <row r="214" spans="18:31">
      <c r="R214" s="265"/>
      <c r="S214" s="267"/>
      <c r="AE214" s="265"/>
    </row>
    <row r="215" spans="18:31">
      <c r="R215" s="265"/>
      <c r="S215" s="267"/>
      <c r="AE215" s="265"/>
    </row>
    <row r="216" spans="18:31">
      <c r="R216" s="265"/>
      <c r="S216" s="267"/>
      <c r="AE216" s="265"/>
    </row>
    <row r="217" spans="18:31">
      <c r="R217" s="265"/>
      <c r="S217" s="267"/>
      <c r="AE217" s="265"/>
    </row>
    <row r="218" spans="18:31">
      <c r="R218" s="265"/>
      <c r="S218" s="267"/>
      <c r="AE218" s="265"/>
    </row>
    <row r="219" spans="18:31">
      <c r="R219" s="265"/>
      <c r="S219" s="267"/>
      <c r="AE219" s="265"/>
    </row>
    <row r="220" spans="18:31">
      <c r="R220" s="265"/>
      <c r="S220" s="267"/>
      <c r="AE220" s="265"/>
    </row>
    <row r="221" spans="18:31">
      <c r="R221" s="265"/>
      <c r="S221" s="267"/>
      <c r="AE221" s="265"/>
    </row>
    <row r="222" spans="18:31">
      <c r="R222" s="265"/>
      <c r="S222" s="267"/>
      <c r="AE222" s="265"/>
    </row>
    <row r="223" spans="18:31">
      <c r="R223" s="265"/>
      <c r="S223" s="267"/>
      <c r="AE223" s="265"/>
    </row>
    <row r="224" spans="18:31">
      <c r="R224" s="265"/>
      <c r="S224" s="267"/>
      <c r="AE224" s="265"/>
    </row>
    <row r="225" spans="18:31">
      <c r="R225" s="265"/>
      <c r="S225" s="267"/>
      <c r="AE225" s="265"/>
    </row>
    <row r="226" spans="18:31">
      <c r="R226" s="265"/>
      <c r="S226" s="267"/>
      <c r="AE226" s="265"/>
    </row>
    <row r="227" spans="18:31">
      <c r="R227" s="265"/>
      <c r="S227" s="267"/>
      <c r="AE227" s="265"/>
    </row>
    <row r="228" spans="18:31">
      <c r="R228" s="265"/>
      <c r="S228" s="267"/>
      <c r="AE228" s="265"/>
    </row>
    <row r="229" spans="18:31">
      <c r="R229" s="265"/>
      <c r="S229" s="267"/>
      <c r="AE229" s="265"/>
    </row>
    <row r="230" spans="18:31">
      <c r="R230" s="265"/>
      <c r="S230" s="267"/>
      <c r="AE230" s="265"/>
    </row>
    <row r="231" spans="18:31">
      <c r="R231" s="265"/>
      <c r="S231" s="267"/>
      <c r="AE231" s="265"/>
    </row>
    <row r="232" spans="18:31">
      <c r="R232" s="265"/>
      <c r="S232" s="267"/>
      <c r="AE232" s="265"/>
    </row>
    <row r="233" spans="18:31">
      <c r="R233" s="265"/>
      <c r="S233" s="267"/>
      <c r="AE233" s="265"/>
    </row>
    <row r="234" spans="18:31">
      <c r="R234" s="265"/>
      <c r="S234" s="267"/>
      <c r="AE234" s="265"/>
    </row>
    <row r="235" spans="18:31">
      <c r="R235" s="265"/>
      <c r="S235" s="267"/>
      <c r="AE235" s="265"/>
    </row>
    <row r="236" spans="18:31">
      <c r="R236" s="265"/>
      <c r="S236" s="267"/>
      <c r="AE236" s="265"/>
    </row>
    <row r="237" spans="18:31">
      <c r="R237" s="265"/>
      <c r="S237" s="267"/>
      <c r="AE237" s="265"/>
    </row>
    <row r="238" spans="18:31">
      <c r="R238" s="265"/>
      <c r="S238" s="267"/>
      <c r="AE238" s="265"/>
    </row>
    <row r="239" spans="18:31">
      <c r="R239" s="265"/>
      <c r="S239" s="267"/>
      <c r="AE239" s="265"/>
    </row>
    <row r="240" spans="18:31">
      <c r="R240" s="265"/>
      <c r="S240" s="267"/>
      <c r="AE240" s="265"/>
    </row>
    <row r="241" spans="18:31">
      <c r="R241" s="265"/>
      <c r="S241" s="267"/>
      <c r="AE241" s="265"/>
    </row>
    <row r="242" spans="18:31">
      <c r="R242" s="265"/>
      <c r="S242" s="267"/>
      <c r="AE242" s="265"/>
    </row>
    <row r="243" spans="18:31">
      <c r="R243" s="265"/>
      <c r="S243" s="267"/>
      <c r="AE243" s="265"/>
    </row>
    <row r="244" spans="18:31">
      <c r="R244" s="265"/>
      <c r="S244" s="267"/>
      <c r="AE244" s="265"/>
    </row>
    <row r="245" spans="18:31">
      <c r="R245" s="265"/>
      <c r="S245" s="267"/>
      <c r="AE245" s="265"/>
    </row>
    <row r="246" spans="18:31">
      <c r="R246" s="265"/>
      <c r="S246" s="267"/>
      <c r="AE246" s="265"/>
    </row>
    <row r="247" spans="18:31">
      <c r="R247" s="265"/>
      <c r="S247" s="267"/>
      <c r="AE247" s="265"/>
    </row>
    <row r="248" spans="18:31">
      <c r="R248" s="265"/>
      <c r="S248" s="267"/>
      <c r="W248" s="268"/>
      <c r="AE248" s="265"/>
    </row>
    <row r="249" spans="18:31">
      <c r="R249" s="265"/>
      <c r="S249" s="267"/>
      <c r="W249" s="268"/>
      <c r="AE249" s="265"/>
    </row>
    <row r="250" spans="18:31">
      <c r="R250" s="265"/>
      <c r="S250" s="267"/>
      <c r="W250" s="268"/>
      <c r="AE250" s="265"/>
    </row>
    <row r="251" spans="18:31">
      <c r="R251" s="265"/>
      <c r="S251" s="267"/>
      <c r="W251" s="268"/>
      <c r="AE251" s="265"/>
    </row>
    <row r="252" spans="18:31">
      <c r="R252" s="265"/>
      <c r="S252" s="267"/>
      <c r="W252" s="268"/>
      <c r="AE252" s="265"/>
    </row>
    <row r="253" spans="18:31">
      <c r="R253" s="265"/>
      <c r="S253" s="267"/>
      <c r="W253" s="268"/>
      <c r="AE253" s="265"/>
    </row>
    <row r="254" spans="18:31">
      <c r="R254" s="265"/>
      <c r="S254" s="267"/>
      <c r="W254" s="268"/>
      <c r="AE254" s="265"/>
    </row>
    <row r="255" spans="18:31">
      <c r="R255" s="265"/>
      <c r="S255" s="267"/>
      <c r="W255" s="268"/>
      <c r="AE255" s="265"/>
    </row>
    <row r="256" spans="18:31">
      <c r="R256" s="265"/>
      <c r="S256" s="267"/>
      <c r="W256" s="268"/>
      <c r="AE256" s="265"/>
    </row>
    <row r="257" spans="18:31">
      <c r="R257" s="265"/>
      <c r="S257" s="267"/>
      <c r="W257" s="268"/>
      <c r="AE257" s="265"/>
    </row>
    <row r="258" spans="18:31">
      <c r="R258" s="265"/>
      <c r="S258" s="267"/>
      <c r="W258" s="268"/>
      <c r="AE258" s="265"/>
    </row>
    <row r="259" spans="18:31">
      <c r="R259" s="265"/>
      <c r="S259" s="267"/>
      <c r="W259" s="268"/>
      <c r="AE259" s="265"/>
    </row>
    <row r="260" spans="18:31">
      <c r="R260" s="265"/>
      <c r="S260" s="267"/>
      <c r="W260" s="268"/>
      <c r="AE260" s="265"/>
    </row>
    <row r="261" spans="18:31">
      <c r="R261" s="265"/>
      <c r="S261" s="267"/>
      <c r="W261" s="268"/>
      <c r="AE261" s="265"/>
    </row>
    <row r="262" spans="18:31">
      <c r="R262" s="265"/>
      <c r="S262" s="267"/>
      <c r="W262" s="268"/>
      <c r="AE262" s="265"/>
    </row>
    <row r="263" spans="18:31">
      <c r="R263" s="265"/>
      <c r="S263" s="267"/>
      <c r="W263" s="268"/>
      <c r="AE263" s="265"/>
    </row>
    <row r="264" spans="18:31">
      <c r="R264" s="265"/>
      <c r="S264" s="267"/>
      <c r="W264" s="268"/>
      <c r="AE264" s="265"/>
    </row>
    <row r="265" spans="18:31">
      <c r="R265" s="265"/>
      <c r="S265" s="267"/>
      <c r="W265" s="268"/>
      <c r="AE265" s="265"/>
    </row>
    <row r="266" spans="18:31">
      <c r="R266" s="265"/>
      <c r="S266" s="267"/>
      <c r="W266" s="268"/>
      <c r="AE266" s="265"/>
    </row>
    <row r="267" spans="18:31">
      <c r="R267" s="265"/>
      <c r="S267" s="267"/>
      <c r="W267" s="268"/>
      <c r="AE267" s="265"/>
    </row>
    <row r="268" spans="18:31">
      <c r="R268" s="265"/>
      <c r="S268" s="267"/>
      <c r="W268" s="268"/>
      <c r="AE268" s="265"/>
    </row>
    <row r="269" spans="18:31">
      <c r="R269" s="265"/>
      <c r="S269" s="267"/>
      <c r="W269" s="268"/>
      <c r="AE269" s="265"/>
    </row>
    <row r="270" spans="18:31">
      <c r="R270" s="265"/>
      <c r="S270" s="267"/>
      <c r="W270" s="268"/>
      <c r="AE270" s="265"/>
    </row>
    <row r="271" spans="18:31">
      <c r="R271" s="265"/>
      <c r="S271" s="267"/>
      <c r="W271" s="268"/>
      <c r="AE271" s="265"/>
    </row>
    <row r="272" spans="18:31">
      <c r="R272" s="265"/>
      <c r="S272" s="267"/>
      <c r="W272" s="268"/>
      <c r="AE272" s="265"/>
    </row>
    <row r="273" spans="18:31">
      <c r="R273" s="265"/>
      <c r="S273" s="267"/>
      <c r="W273" s="268"/>
      <c r="AE273" s="265"/>
    </row>
    <row r="274" spans="18:31">
      <c r="R274" s="265"/>
      <c r="S274" s="267"/>
      <c r="W274" s="268"/>
      <c r="AE274" s="265"/>
    </row>
    <row r="275" spans="18:31">
      <c r="R275" s="265"/>
      <c r="S275" s="267"/>
      <c r="W275" s="268"/>
      <c r="AE275" s="265"/>
    </row>
    <row r="276" spans="18:31">
      <c r="R276" s="265"/>
      <c r="S276" s="267"/>
      <c r="W276" s="268"/>
      <c r="AE276" s="265"/>
    </row>
    <row r="277" spans="18:31">
      <c r="R277" s="265"/>
      <c r="S277" s="267"/>
      <c r="W277" s="268"/>
      <c r="AE277" s="265"/>
    </row>
    <row r="278" spans="18:31">
      <c r="R278" s="265"/>
      <c r="S278" s="267"/>
      <c r="W278" s="268"/>
      <c r="AE278" s="265"/>
    </row>
    <row r="279" spans="18:31">
      <c r="R279" s="265"/>
      <c r="S279" s="267"/>
      <c r="W279" s="268"/>
      <c r="AE279" s="265"/>
    </row>
    <row r="280" spans="18:31">
      <c r="R280" s="265"/>
      <c r="S280" s="267"/>
      <c r="W280" s="268"/>
      <c r="AE280" s="265"/>
    </row>
    <row r="281" spans="18:31">
      <c r="R281" s="265"/>
      <c r="S281" s="267"/>
      <c r="W281" s="268"/>
      <c r="AE281" s="265"/>
    </row>
    <row r="282" spans="18:31">
      <c r="R282" s="265"/>
      <c r="S282" s="267"/>
      <c r="W282" s="268"/>
      <c r="AE282" s="265"/>
    </row>
    <row r="283" spans="18:31">
      <c r="R283" s="265"/>
      <c r="S283" s="267"/>
      <c r="W283" s="268"/>
      <c r="AE283" s="265"/>
    </row>
    <row r="284" spans="18:31">
      <c r="R284" s="265"/>
      <c r="S284" s="267"/>
      <c r="W284" s="268"/>
      <c r="AE284" s="265"/>
    </row>
    <row r="285" spans="18:31">
      <c r="R285" s="265"/>
      <c r="S285" s="267"/>
      <c r="W285" s="268"/>
      <c r="AE285" s="265"/>
    </row>
    <row r="286" spans="18:31">
      <c r="R286" s="265"/>
      <c r="S286" s="267"/>
      <c r="W286" s="268"/>
      <c r="AE286" s="265"/>
    </row>
    <row r="287" spans="18:31">
      <c r="R287" s="265"/>
      <c r="S287" s="267"/>
      <c r="W287" s="268"/>
      <c r="AE287" s="265"/>
    </row>
    <row r="288" spans="18:31">
      <c r="R288" s="265"/>
      <c r="S288" s="267"/>
      <c r="W288" s="268"/>
      <c r="AE288" s="265"/>
    </row>
    <row r="289" spans="18:31">
      <c r="R289" s="265"/>
      <c r="S289" s="267"/>
      <c r="W289" s="268"/>
      <c r="AE289" s="265"/>
    </row>
    <row r="290" spans="18:31">
      <c r="R290" s="265"/>
      <c r="S290" s="267"/>
      <c r="W290" s="268"/>
      <c r="AE290" s="265"/>
    </row>
    <row r="291" spans="18:31">
      <c r="R291" s="265"/>
      <c r="S291" s="267"/>
      <c r="W291" s="268"/>
      <c r="AE291" s="265"/>
    </row>
    <row r="292" spans="18:31">
      <c r="R292" s="265"/>
      <c r="S292" s="267"/>
      <c r="W292" s="268"/>
      <c r="AE292" s="265"/>
    </row>
    <row r="293" spans="18:31">
      <c r="R293" s="265"/>
      <c r="S293" s="267"/>
      <c r="W293" s="268"/>
      <c r="AE293" s="265"/>
    </row>
    <row r="294" spans="18:31">
      <c r="R294" s="265"/>
      <c r="S294" s="267"/>
      <c r="W294" s="268"/>
      <c r="AE294" s="265"/>
    </row>
    <row r="295" spans="18:31">
      <c r="R295" s="265"/>
      <c r="S295" s="267"/>
      <c r="W295" s="268"/>
      <c r="AE295" s="265"/>
    </row>
    <row r="296" spans="18:31">
      <c r="R296" s="265"/>
      <c r="S296" s="267"/>
      <c r="W296" s="268"/>
      <c r="AE296" s="265"/>
    </row>
    <row r="297" spans="18:31">
      <c r="R297" s="265"/>
      <c r="S297" s="267"/>
      <c r="W297" s="268"/>
      <c r="AE297" s="265"/>
    </row>
    <row r="298" spans="18:31">
      <c r="R298" s="265"/>
      <c r="S298" s="267"/>
      <c r="W298" s="268"/>
      <c r="AE298" s="265"/>
    </row>
    <row r="299" spans="18:31">
      <c r="R299" s="265"/>
      <c r="S299" s="267"/>
      <c r="W299" s="268"/>
      <c r="AE299" s="265"/>
    </row>
    <row r="300" spans="18:31">
      <c r="R300" s="265"/>
      <c r="S300" s="267"/>
      <c r="W300" s="268"/>
      <c r="AE300" s="265"/>
    </row>
    <row r="301" spans="18:31">
      <c r="R301" s="265"/>
      <c r="S301" s="267"/>
      <c r="W301" s="268"/>
      <c r="AE301" s="265"/>
    </row>
    <row r="302" spans="18:31">
      <c r="R302" s="265"/>
      <c r="S302" s="267"/>
      <c r="W302" s="268"/>
      <c r="AE302" s="265"/>
    </row>
    <row r="303" spans="18:31">
      <c r="R303" s="265"/>
      <c r="S303" s="267"/>
      <c r="W303" s="268"/>
      <c r="AE303" s="265"/>
    </row>
    <row r="304" spans="18:31">
      <c r="R304" s="265"/>
      <c r="S304" s="267"/>
      <c r="W304" s="268"/>
      <c r="AE304" s="265"/>
    </row>
    <row r="305" spans="18:31">
      <c r="R305" s="265"/>
      <c r="S305" s="267"/>
      <c r="W305" s="268"/>
      <c r="AE305" s="265"/>
    </row>
    <row r="306" spans="18:31">
      <c r="R306" s="265"/>
      <c r="S306" s="267"/>
      <c r="W306" s="268"/>
      <c r="AE306" s="265"/>
    </row>
    <row r="307" spans="18:31">
      <c r="R307" s="265"/>
      <c r="S307" s="267"/>
      <c r="W307" s="268"/>
      <c r="AE307" s="265"/>
    </row>
    <row r="308" spans="18:31">
      <c r="R308" s="265"/>
      <c r="S308" s="267"/>
      <c r="W308" s="268"/>
      <c r="AE308" s="265"/>
    </row>
    <row r="309" spans="18:31">
      <c r="R309" s="265"/>
      <c r="S309" s="267"/>
      <c r="W309" s="268"/>
      <c r="AE309" s="265"/>
    </row>
    <row r="310" spans="18:31">
      <c r="R310" s="265"/>
      <c r="S310" s="267"/>
      <c r="W310" s="268"/>
      <c r="AE310" s="265"/>
    </row>
    <row r="311" spans="18:31">
      <c r="R311" s="265"/>
      <c r="S311" s="267"/>
      <c r="W311" s="268"/>
      <c r="AE311" s="265"/>
    </row>
    <row r="312" spans="18:31">
      <c r="R312" s="265"/>
      <c r="S312" s="267"/>
      <c r="W312" s="268"/>
      <c r="AE312" s="265"/>
    </row>
    <row r="313" spans="18:31">
      <c r="R313" s="265"/>
      <c r="S313" s="267"/>
      <c r="W313" s="268"/>
      <c r="AE313" s="265"/>
    </row>
    <row r="314" spans="18:31">
      <c r="R314" s="265"/>
      <c r="S314" s="267"/>
      <c r="T314" s="271"/>
      <c r="U314" s="273"/>
      <c r="W314" s="268"/>
      <c r="AE314" s="265"/>
    </row>
    <row r="315" spans="18:31">
      <c r="R315" s="265"/>
      <c r="S315" s="267"/>
      <c r="T315" s="271"/>
      <c r="U315" s="273"/>
      <c r="W315" s="268"/>
      <c r="AE315" s="265"/>
    </row>
    <row r="316" spans="18:31">
      <c r="R316" s="265"/>
      <c r="S316" s="267"/>
      <c r="T316" s="271"/>
      <c r="U316" s="271"/>
      <c r="W316" s="268"/>
      <c r="AE316" s="265"/>
    </row>
    <row r="317" spans="18:31">
      <c r="R317" s="265"/>
      <c r="S317" s="267"/>
      <c r="T317" s="271"/>
      <c r="U317" s="271"/>
      <c r="W317" s="268"/>
      <c r="AE317" s="265"/>
    </row>
    <row r="318" spans="18:31">
      <c r="R318" s="265"/>
      <c r="S318" s="267"/>
      <c r="T318" s="271"/>
      <c r="U318" s="271"/>
      <c r="W318" s="268"/>
      <c r="AE318" s="265"/>
    </row>
    <row r="319" spans="18:31">
      <c r="R319" s="265"/>
      <c r="S319" s="267"/>
      <c r="T319" s="271"/>
      <c r="U319" s="271"/>
      <c r="W319" s="268"/>
      <c r="AE319" s="265"/>
    </row>
    <row r="320" spans="18:31">
      <c r="R320" s="265"/>
      <c r="S320" s="267"/>
      <c r="T320" s="271"/>
      <c r="U320" s="271"/>
      <c r="W320" s="268"/>
      <c r="AE320" s="265"/>
    </row>
    <row r="321" spans="18:31">
      <c r="R321" s="265"/>
      <c r="S321" s="267"/>
      <c r="T321" s="271"/>
      <c r="U321" s="271"/>
      <c r="W321" s="268"/>
      <c r="AE321" s="265"/>
    </row>
    <row r="322" spans="18:31">
      <c r="R322" s="265"/>
      <c r="S322" s="267"/>
      <c r="T322" s="271"/>
      <c r="U322" s="271"/>
      <c r="W322" s="268"/>
      <c r="AE322" s="265"/>
    </row>
    <row r="323" spans="18:31">
      <c r="R323" s="265"/>
      <c r="S323" s="267"/>
      <c r="T323" s="271"/>
      <c r="U323" s="271"/>
      <c r="W323" s="268"/>
      <c r="AE323" s="265"/>
    </row>
    <row r="324" spans="18:31">
      <c r="R324" s="265"/>
      <c r="S324" s="267"/>
      <c r="T324" s="271"/>
      <c r="U324" s="271"/>
      <c r="W324" s="268"/>
      <c r="AE324" s="265"/>
    </row>
    <row r="325" spans="18:31">
      <c r="R325" s="265"/>
      <c r="S325" s="267"/>
      <c r="T325" s="271"/>
      <c r="U325" s="271"/>
      <c r="W325" s="268"/>
      <c r="AE325" s="265"/>
    </row>
    <row r="326" spans="18:31">
      <c r="R326" s="265"/>
      <c r="S326" s="267"/>
      <c r="T326" s="271"/>
      <c r="U326" s="271"/>
      <c r="W326" s="268"/>
      <c r="AE326" s="265"/>
    </row>
    <row r="327" spans="18:31">
      <c r="R327" s="265"/>
      <c r="S327" s="267"/>
      <c r="T327" s="271"/>
      <c r="U327" s="277"/>
      <c r="W327" s="268"/>
      <c r="Y327" s="271"/>
      <c r="AE327" s="265"/>
    </row>
    <row r="328" spans="18:31">
      <c r="R328" s="265"/>
      <c r="S328" s="267"/>
      <c r="T328" s="271"/>
      <c r="U328" s="277"/>
      <c r="W328" s="268"/>
      <c r="X328" s="271"/>
      <c r="Y328" s="271"/>
      <c r="AE328" s="265"/>
    </row>
    <row r="329" spans="18:31">
      <c r="R329" s="265"/>
      <c r="S329" s="267"/>
      <c r="T329" s="271"/>
      <c r="U329" s="271"/>
      <c r="W329" s="268"/>
      <c r="X329" s="271"/>
      <c r="Y329" s="271"/>
      <c r="AE329" s="265"/>
    </row>
    <row r="330" spans="18:31">
      <c r="R330" s="265"/>
      <c r="S330" s="267"/>
      <c r="T330" s="271"/>
      <c r="U330" s="273"/>
      <c r="W330" s="268"/>
      <c r="X330" s="271"/>
      <c r="Y330" s="271"/>
      <c r="AE330" s="265"/>
    </row>
    <row r="331" spans="18:31">
      <c r="R331" s="265"/>
      <c r="S331" s="267"/>
      <c r="T331" s="271"/>
      <c r="U331" s="271"/>
      <c r="W331" s="268"/>
      <c r="X331" s="271"/>
      <c r="Y331" s="271"/>
      <c r="AE331" s="265"/>
    </row>
    <row r="332" spans="18:31">
      <c r="R332" s="265"/>
      <c r="S332" s="267"/>
      <c r="T332" s="271"/>
      <c r="U332" s="271"/>
      <c r="W332" s="268"/>
      <c r="X332" s="271"/>
      <c r="Y332" s="271"/>
      <c r="AE332" s="265"/>
    </row>
    <row r="333" spans="18:31">
      <c r="R333" s="265"/>
      <c r="S333" s="267"/>
      <c r="T333" s="271"/>
      <c r="U333" s="271"/>
      <c r="W333" s="268"/>
      <c r="X333" s="271"/>
      <c r="Y333" s="271"/>
      <c r="AE333" s="265"/>
    </row>
    <row r="334" spans="18:31">
      <c r="R334" s="265"/>
      <c r="S334" s="276"/>
      <c r="T334" s="271"/>
      <c r="U334" s="271"/>
      <c r="W334" s="268"/>
      <c r="X334" s="271"/>
      <c r="Y334" s="271"/>
      <c r="AE334" s="265"/>
    </row>
    <row r="335" spans="18:31">
      <c r="R335" s="265"/>
      <c r="S335" s="276"/>
      <c r="T335" s="271"/>
      <c r="U335" s="271"/>
      <c r="W335" s="268"/>
      <c r="X335" s="271"/>
      <c r="Y335" s="271"/>
      <c r="AE335" s="265"/>
    </row>
    <row r="336" spans="18:31">
      <c r="R336" s="265"/>
      <c r="W336" s="268"/>
      <c r="X336" s="271"/>
      <c r="Y336" s="271"/>
      <c r="AE336" s="265"/>
    </row>
    <row r="337" spans="18:31">
      <c r="R337" s="265"/>
      <c r="W337" s="268"/>
      <c r="X337" s="271"/>
      <c r="Y337" s="271"/>
      <c r="AE337" s="265"/>
    </row>
    <row r="338" spans="18:31">
      <c r="R338" s="265"/>
      <c r="W338" s="268"/>
      <c r="X338" s="271"/>
      <c r="Y338" s="271"/>
      <c r="AE338" s="265"/>
    </row>
    <row r="339" spans="18:31">
      <c r="R339" s="265"/>
      <c r="W339" s="268"/>
      <c r="X339" s="271"/>
      <c r="Y339" s="271"/>
      <c r="AE339" s="265"/>
    </row>
    <row r="340" spans="18:31">
      <c r="R340" s="265"/>
      <c r="W340" s="268"/>
      <c r="X340" s="271"/>
      <c r="Y340" s="271"/>
      <c r="AE340" s="265"/>
    </row>
    <row r="341" spans="18:31">
      <c r="R341" s="265"/>
      <c r="W341" s="268"/>
      <c r="X341" s="271"/>
      <c r="Y341" s="271"/>
      <c r="AE341" s="265"/>
    </row>
    <row r="342" spans="18:31">
      <c r="R342" s="265"/>
      <c r="W342" s="268"/>
      <c r="X342" s="271"/>
      <c r="Y342" s="271"/>
      <c r="AE342" s="265"/>
    </row>
    <row r="343" spans="18:31">
      <c r="R343" s="265"/>
      <c r="W343" s="268"/>
      <c r="X343" s="271"/>
      <c r="Y343" s="271"/>
      <c r="AE343" s="265"/>
    </row>
    <row r="344" spans="18:31">
      <c r="R344" s="265"/>
      <c r="W344" s="268"/>
      <c r="X344" s="271"/>
      <c r="Y344" s="271"/>
      <c r="AE344" s="265"/>
    </row>
    <row r="345" spans="18:31">
      <c r="R345" s="265"/>
      <c r="W345" s="268"/>
      <c r="X345" s="271"/>
      <c r="Y345" s="271"/>
      <c r="AE345" s="265"/>
    </row>
    <row r="346" spans="18:31">
      <c r="R346" s="265"/>
      <c r="V346" s="271"/>
      <c r="W346" s="268"/>
      <c r="X346" s="271"/>
      <c r="Y346" s="271"/>
      <c r="AE346" s="265"/>
    </row>
    <row r="347" spans="18:31">
      <c r="R347" s="265"/>
      <c r="V347" s="271"/>
      <c r="W347" s="268"/>
      <c r="X347" s="271"/>
      <c r="Y347" s="271"/>
      <c r="AE347" s="265"/>
    </row>
    <row r="348" spans="18:31">
      <c r="R348" s="265"/>
      <c r="V348" s="271"/>
      <c r="W348" s="268"/>
      <c r="X348" s="271"/>
      <c r="Y348" s="271"/>
      <c r="AE348" s="265"/>
    </row>
    <row r="349" spans="18:31">
      <c r="R349" s="265"/>
      <c r="V349" s="271"/>
      <c r="W349" s="268"/>
      <c r="X349" s="271"/>
      <c r="Y349" s="271"/>
      <c r="AE349" s="265"/>
    </row>
    <row r="350" spans="18:31">
      <c r="V350" s="271"/>
      <c r="Y350" s="271"/>
      <c r="AE350" s="265"/>
    </row>
    <row r="351" spans="18:31">
      <c r="V351" s="271"/>
      <c r="Y351" s="271"/>
      <c r="AE351" s="265"/>
    </row>
    <row r="352" spans="18:31">
      <c r="V352" s="271"/>
      <c r="Y352" s="271"/>
      <c r="AE352" s="265"/>
    </row>
    <row r="353" spans="4:31">
      <c r="V353" s="271"/>
      <c r="Y353" s="271"/>
      <c r="AE353" s="265"/>
    </row>
    <row r="354" spans="4:31">
      <c r="V354" s="271"/>
      <c r="Y354" s="271"/>
      <c r="AE354" s="265"/>
    </row>
    <row r="355" spans="4:31">
      <c r="V355" s="271"/>
      <c r="Y355" s="271"/>
      <c r="Z355" s="271"/>
      <c r="AE355" s="265"/>
    </row>
    <row r="356" spans="4:31">
      <c r="V356" s="271"/>
      <c r="Y356" s="271"/>
      <c r="Z356" s="271"/>
      <c r="AE356" s="265"/>
    </row>
    <row r="357" spans="4:31">
      <c r="V357" s="271"/>
      <c r="Y357" s="271"/>
      <c r="Z357" s="271"/>
      <c r="AE357" s="265"/>
    </row>
    <row r="358" spans="4:31">
      <c r="V358" s="271"/>
      <c r="Y358" s="271"/>
      <c r="Z358" s="271"/>
      <c r="AE358" s="265"/>
    </row>
    <row r="359" spans="4:31">
      <c r="V359" s="271"/>
      <c r="Y359" s="271"/>
      <c r="Z359" s="271"/>
      <c r="AE359" s="265"/>
    </row>
    <row r="360" spans="4:31">
      <c r="V360" s="271"/>
      <c r="Y360" s="271"/>
      <c r="Z360" s="271"/>
      <c r="AE360" s="265"/>
    </row>
    <row r="361" spans="4:31">
      <c r="V361" s="271"/>
      <c r="Y361" s="271"/>
      <c r="Z361" s="271"/>
      <c r="AE361" s="265"/>
    </row>
    <row r="362" spans="4:31">
      <c r="V362" s="271"/>
      <c r="Y362" s="271"/>
      <c r="Z362" s="271"/>
      <c r="AE362" s="265"/>
    </row>
    <row r="363" spans="4:31">
      <c r="V363" s="271"/>
      <c r="Y363" s="271"/>
      <c r="Z363" s="271"/>
      <c r="AE363" s="265"/>
    </row>
    <row r="364" spans="4:31">
      <c r="D364" s="266"/>
      <c r="V364" s="271"/>
      <c r="Y364" s="271"/>
      <c r="Z364" s="271"/>
      <c r="AE364" s="265"/>
    </row>
    <row r="365" spans="4:31">
      <c r="K365" s="266"/>
      <c r="V365" s="271"/>
      <c r="Y365" s="271"/>
      <c r="Z365" s="271"/>
      <c r="AE365" s="265"/>
    </row>
    <row r="366" spans="4:31">
      <c r="V366" s="271"/>
      <c r="Y366" s="271"/>
      <c r="Z366" s="271"/>
      <c r="AE366" s="265"/>
    </row>
    <row r="367" spans="4:31">
      <c r="V367" s="271"/>
      <c r="Y367" s="271"/>
      <c r="Z367" s="271"/>
      <c r="AE367" s="265"/>
    </row>
    <row r="368" spans="4:31">
      <c r="Y368" s="271"/>
      <c r="Z368" s="271"/>
      <c r="AE368" s="265"/>
    </row>
    <row r="369" spans="25:35">
      <c r="Y369" s="271"/>
      <c r="Z369" s="271"/>
      <c r="AE369" s="265"/>
    </row>
    <row r="370" spans="25:35">
      <c r="Y370" s="271"/>
      <c r="Z370" s="271"/>
      <c r="AE370" s="265"/>
    </row>
    <row r="371" spans="25:35">
      <c r="Y371" s="271"/>
      <c r="Z371" s="271"/>
      <c r="AE371" s="265"/>
    </row>
    <row r="372" spans="25:35">
      <c r="Y372" s="271"/>
      <c r="Z372" s="271"/>
      <c r="AE372" s="265"/>
    </row>
    <row r="373" spans="25:35">
      <c r="Y373" s="271"/>
      <c r="Z373" s="273"/>
      <c r="AE373" s="265"/>
    </row>
    <row r="374" spans="25:35">
      <c r="Y374" s="271"/>
      <c r="Z374" s="273"/>
      <c r="AE374" s="265"/>
    </row>
    <row r="375" spans="25:35">
      <c r="Y375" s="271"/>
      <c r="Z375" s="273"/>
      <c r="AE375" s="265"/>
    </row>
    <row r="376" spans="25:35">
      <c r="Y376" s="271"/>
      <c r="Z376" s="271"/>
      <c r="AA376" s="271"/>
      <c r="AC376" s="271"/>
      <c r="AE376" s="265"/>
    </row>
    <row r="377" spans="25:35">
      <c r="Y377" s="271"/>
      <c r="Z377" s="275"/>
      <c r="AA377" s="271"/>
      <c r="AB377" s="271"/>
      <c r="AC377" s="271"/>
      <c r="AE377" s="265"/>
    </row>
    <row r="378" spans="25:35">
      <c r="Y378" s="271"/>
      <c r="Z378" s="275"/>
      <c r="AA378" s="271"/>
      <c r="AB378" s="271"/>
      <c r="AC378" s="271"/>
      <c r="AE378" s="265"/>
    </row>
    <row r="379" spans="25:35">
      <c r="Y379" s="271"/>
      <c r="Z379" s="275"/>
      <c r="AA379" s="271"/>
      <c r="AB379" s="271"/>
      <c r="AC379" s="271"/>
      <c r="AD379" s="271"/>
      <c r="AE379" s="272"/>
      <c r="AF379" s="271"/>
      <c r="AG379" s="271"/>
      <c r="AH379" s="271"/>
      <c r="AI379" s="271"/>
    </row>
    <row r="380" spans="25:35">
      <c r="Z380" s="271"/>
      <c r="AA380" s="271"/>
      <c r="AB380" s="271"/>
      <c r="AC380" s="271"/>
      <c r="AD380" s="271"/>
      <c r="AE380" s="272"/>
      <c r="AF380" s="271"/>
      <c r="AG380" s="271"/>
      <c r="AH380" s="271"/>
      <c r="AI380" s="273"/>
    </row>
    <row r="381" spans="25:35">
      <c r="Z381" s="271"/>
      <c r="AA381" s="271"/>
      <c r="AB381" s="271"/>
      <c r="AC381" s="271"/>
      <c r="AD381" s="271"/>
      <c r="AE381" s="272"/>
      <c r="AF381" s="271"/>
      <c r="AG381" s="271"/>
      <c r="AH381" s="271"/>
      <c r="AI381" s="271"/>
    </row>
    <row r="382" spans="25:35">
      <c r="Z382" s="271"/>
      <c r="AA382" s="271"/>
      <c r="AB382" s="271"/>
      <c r="AC382" s="271"/>
      <c r="AD382" s="271"/>
      <c r="AE382" s="272"/>
      <c r="AF382" s="271"/>
      <c r="AG382" s="271"/>
      <c r="AH382" s="271"/>
      <c r="AI382" s="273"/>
    </row>
    <row r="383" spans="25:35">
      <c r="Z383" s="271"/>
      <c r="AA383" s="271"/>
      <c r="AB383" s="271"/>
      <c r="AC383" s="271"/>
      <c r="AD383" s="271"/>
      <c r="AE383" s="272"/>
      <c r="AF383" s="271"/>
      <c r="AG383" s="271"/>
      <c r="AH383" s="271"/>
      <c r="AI383" s="271"/>
    </row>
    <row r="384" spans="25:35">
      <c r="Z384" s="271"/>
      <c r="AA384" s="271"/>
      <c r="AB384" s="271"/>
      <c r="AC384" s="271"/>
      <c r="AD384" s="271"/>
      <c r="AE384" s="272"/>
      <c r="AF384" s="271"/>
      <c r="AG384" s="271"/>
      <c r="AH384" s="271"/>
      <c r="AI384" s="271"/>
    </row>
    <row r="385" spans="26:35">
      <c r="Z385" s="271"/>
      <c r="AA385" s="271"/>
      <c r="AB385" s="271"/>
      <c r="AC385" s="271"/>
      <c r="AD385" s="271"/>
      <c r="AE385" s="272"/>
      <c r="AF385" s="271"/>
      <c r="AG385" s="271"/>
      <c r="AH385" s="271"/>
      <c r="AI385" s="271"/>
    </row>
    <row r="386" spans="26:35">
      <c r="Z386" s="271"/>
      <c r="AA386" s="271"/>
      <c r="AB386" s="271"/>
      <c r="AC386" s="271"/>
      <c r="AD386" s="271"/>
      <c r="AE386" s="272"/>
      <c r="AF386" s="271"/>
      <c r="AG386" s="271"/>
      <c r="AH386" s="271"/>
      <c r="AI386" s="271"/>
    </row>
    <row r="387" spans="26:35">
      <c r="Z387" s="271"/>
      <c r="AA387" s="271"/>
      <c r="AB387" s="271"/>
      <c r="AC387" s="271"/>
      <c r="AD387" s="273"/>
      <c r="AE387" s="272"/>
      <c r="AF387" s="271"/>
      <c r="AG387" s="271"/>
      <c r="AH387" s="271"/>
      <c r="AI387" s="271"/>
    </row>
    <row r="388" spans="26:35">
      <c r="Z388" s="271"/>
      <c r="AA388" s="271"/>
      <c r="AB388" s="271"/>
      <c r="AC388" s="273"/>
      <c r="AD388" s="271"/>
      <c r="AE388" s="272"/>
      <c r="AF388" s="271"/>
      <c r="AG388" s="271"/>
      <c r="AH388" s="271"/>
      <c r="AI388" s="271"/>
    </row>
    <row r="389" spans="26:35">
      <c r="Z389" s="271"/>
      <c r="AA389" s="271"/>
      <c r="AB389" s="271"/>
      <c r="AC389" s="271"/>
      <c r="AD389" s="271"/>
      <c r="AE389" s="272"/>
      <c r="AF389" s="271"/>
      <c r="AG389" s="271"/>
      <c r="AH389" s="271"/>
      <c r="AI389" s="271"/>
    </row>
    <row r="390" spans="26:35">
      <c r="Z390" s="271"/>
      <c r="AA390" s="271"/>
      <c r="AB390" s="271"/>
      <c r="AC390" s="273"/>
      <c r="AD390" s="271"/>
      <c r="AE390" s="272"/>
      <c r="AF390" s="271"/>
      <c r="AG390" s="271"/>
      <c r="AH390" s="271"/>
      <c r="AI390" s="271"/>
    </row>
    <row r="391" spans="26:35">
      <c r="Z391" s="271"/>
      <c r="AA391" s="271"/>
      <c r="AB391" s="271"/>
      <c r="AC391" s="273"/>
      <c r="AD391" s="271"/>
      <c r="AE391" s="272"/>
      <c r="AF391" s="271"/>
      <c r="AG391" s="271"/>
      <c r="AH391" s="271"/>
      <c r="AI391" s="271"/>
    </row>
    <row r="392" spans="26:35">
      <c r="Z392" s="271"/>
      <c r="AA392" s="271"/>
      <c r="AB392" s="271"/>
      <c r="AC392" s="271"/>
      <c r="AD392" s="271"/>
      <c r="AE392" s="272"/>
      <c r="AF392" s="271"/>
      <c r="AG392" s="271"/>
      <c r="AH392" s="271"/>
      <c r="AI392" s="271"/>
    </row>
    <row r="393" spans="26:35">
      <c r="Z393" s="271"/>
      <c r="AA393" s="271"/>
      <c r="AB393" s="271"/>
      <c r="AC393" s="271"/>
      <c r="AD393" s="271"/>
      <c r="AE393" s="272"/>
      <c r="AF393" s="271"/>
      <c r="AG393" s="271"/>
      <c r="AH393" s="271"/>
      <c r="AI393" s="271"/>
    </row>
    <row r="394" spans="26:35">
      <c r="Z394" s="271"/>
      <c r="AA394" s="271"/>
      <c r="AB394" s="271"/>
      <c r="AC394" s="271"/>
      <c r="AD394" s="271"/>
      <c r="AE394" s="272"/>
      <c r="AF394" s="271"/>
      <c r="AG394" s="271"/>
      <c r="AH394" s="271"/>
      <c r="AI394" s="271"/>
    </row>
    <row r="395" spans="26:35">
      <c r="Z395" s="271"/>
      <c r="AA395" s="271"/>
      <c r="AB395" s="271"/>
      <c r="AC395" s="271"/>
      <c r="AD395" s="271"/>
      <c r="AE395" s="272"/>
      <c r="AF395" s="271"/>
      <c r="AG395" s="271"/>
      <c r="AH395" s="271"/>
      <c r="AI395" s="271"/>
    </row>
    <row r="396" spans="26:35">
      <c r="Z396" s="271"/>
      <c r="AA396" s="271"/>
      <c r="AB396" s="271"/>
      <c r="AC396" s="271"/>
      <c r="AD396" s="271"/>
      <c r="AE396" s="272"/>
      <c r="AF396" s="271"/>
      <c r="AG396" s="271"/>
      <c r="AH396" s="271"/>
      <c r="AI396" s="271"/>
    </row>
    <row r="397" spans="26:35">
      <c r="Z397" s="271"/>
      <c r="AA397" s="271"/>
      <c r="AB397" s="271"/>
      <c r="AC397" s="271"/>
      <c r="AD397" s="271"/>
      <c r="AE397" s="272"/>
      <c r="AF397" s="271"/>
      <c r="AG397" s="271"/>
      <c r="AH397" s="271"/>
      <c r="AI397" s="271"/>
    </row>
    <row r="398" spans="26:35">
      <c r="Z398" s="271"/>
      <c r="AA398" s="271"/>
      <c r="AB398" s="271"/>
      <c r="AC398" s="271"/>
      <c r="AD398" s="271"/>
      <c r="AE398" s="272"/>
      <c r="AF398" s="271"/>
      <c r="AG398" s="275"/>
      <c r="AH398" s="271"/>
      <c r="AI398" s="271"/>
    </row>
    <row r="399" spans="26:35">
      <c r="Z399" s="271"/>
      <c r="AA399" s="271"/>
      <c r="AB399" s="271"/>
      <c r="AC399" s="271"/>
      <c r="AD399" s="271"/>
      <c r="AE399" s="272"/>
      <c r="AG399" s="275"/>
      <c r="AH399" s="271"/>
      <c r="AI399" s="271"/>
    </row>
    <row r="400" spans="26:35">
      <c r="Z400" s="271"/>
      <c r="AA400" s="271"/>
      <c r="AB400" s="271"/>
      <c r="AC400" s="271"/>
      <c r="AD400" s="271"/>
      <c r="AE400" s="272"/>
      <c r="AG400" s="275"/>
      <c r="AH400" s="271"/>
      <c r="AI400" s="271"/>
    </row>
    <row r="401" spans="26:35">
      <c r="Z401" s="271"/>
      <c r="AA401" s="271"/>
      <c r="AB401" s="271"/>
      <c r="AC401" s="271"/>
      <c r="AD401" s="271"/>
      <c r="AE401" s="272"/>
      <c r="AG401" s="275"/>
      <c r="AH401" s="271"/>
      <c r="AI401" s="271"/>
    </row>
    <row r="402" spans="26:35">
      <c r="Z402" s="271"/>
      <c r="AA402" s="271"/>
      <c r="AB402" s="271"/>
      <c r="AC402" s="271"/>
      <c r="AD402" s="271"/>
      <c r="AE402" s="272"/>
      <c r="AG402" s="275"/>
      <c r="AH402" s="271"/>
      <c r="AI402" s="271"/>
    </row>
    <row r="403" spans="26:35">
      <c r="Z403" s="271"/>
      <c r="AA403" s="271"/>
      <c r="AB403" s="271"/>
      <c r="AC403" s="271"/>
      <c r="AD403" s="271"/>
      <c r="AE403" s="272"/>
      <c r="AG403" s="275"/>
      <c r="AH403" s="271"/>
      <c r="AI403" s="271"/>
    </row>
    <row r="404" spans="26:35">
      <c r="Z404" s="271"/>
      <c r="AA404" s="271"/>
      <c r="AB404" s="271"/>
      <c r="AC404" s="271"/>
      <c r="AD404" s="271"/>
      <c r="AE404" s="272"/>
      <c r="AG404" s="275"/>
      <c r="AH404" s="271"/>
      <c r="AI404" s="271"/>
    </row>
    <row r="405" spans="26:35">
      <c r="Z405" s="271"/>
      <c r="AA405" s="271"/>
      <c r="AB405" s="271"/>
      <c r="AC405" s="271"/>
      <c r="AD405" s="271"/>
      <c r="AE405" s="272"/>
      <c r="AF405" s="271"/>
      <c r="AG405" s="271"/>
      <c r="AH405" s="271"/>
      <c r="AI405" s="271"/>
    </row>
    <row r="406" spans="26:35">
      <c r="Z406" s="271"/>
      <c r="AA406" s="271"/>
      <c r="AB406" s="271"/>
      <c r="AC406" s="271"/>
      <c r="AD406" s="271"/>
      <c r="AE406" s="274"/>
      <c r="AF406" s="273"/>
      <c r="AG406" s="271"/>
      <c r="AH406" s="271"/>
      <c r="AI406" s="271"/>
    </row>
    <row r="407" spans="26:35">
      <c r="Z407" s="271"/>
      <c r="AB407" s="271"/>
      <c r="AD407" s="271"/>
      <c r="AE407" s="274"/>
      <c r="AF407" s="273"/>
      <c r="AG407" s="271"/>
      <c r="AH407" s="271"/>
      <c r="AI407" s="271"/>
    </row>
    <row r="408" spans="26:35">
      <c r="AD408" s="271"/>
      <c r="AE408" s="274"/>
      <c r="AF408" s="273"/>
      <c r="AG408" s="271"/>
      <c r="AH408" s="271"/>
      <c r="AI408" s="271"/>
    </row>
    <row r="409" spans="26:35">
      <c r="AD409" s="271"/>
      <c r="AE409" s="272"/>
      <c r="AF409" s="271"/>
      <c r="AG409" s="271"/>
      <c r="AH409" s="271"/>
      <c r="AI409" s="271"/>
    </row>
  </sheetData>
  <dataConsolidate/>
  <mergeCells count="55">
    <mergeCell ref="A3:M3"/>
    <mergeCell ref="A4:M4"/>
    <mergeCell ref="A5:M5"/>
    <mergeCell ref="B20:J20"/>
    <mergeCell ref="B16:J16"/>
    <mergeCell ref="B17:J17"/>
    <mergeCell ref="B15:J15"/>
    <mergeCell ref="B14:J14"/>
    <mergeCell ref="B19:J19"/>
    <mergeCell ref="L14:M14"/>
    <mergeCell ref="L15:M15"/>
    <mergeCell ref="L16:M16"/>
    <mergeCell ref="L17:M17"/>
    <mergeCell ref="L19:M19"/>
    <mergeCell ref="B37:J37"/>
    <mergeCell ref="B36:J36"/>
    <mergeCell ref="B32:J32"/>
    <mergeCell ref="C22:C28"/>
    <mergeCell ref="B35:J35"/>
    <mergeCell ref="D22:I28"/>
    <mergeCell ref="J22:L28"/>
    <mergeCell ref="AA32:AC34"/>
    <mergeCell ref="B31:J31"/>
    <mergeCell ref="B30:J30"/>
    <mergeCell ref="G18:J18"/>
    <mergeCell ref="L20:M20"/>
    <mergeCell ref="D175:I175"/>
    <mergeCell ref="D153:I153"/>
    <mergeCell ref="D154:I154"/>
    <mergeCell ref="D157:I157"/>
    <mergeCell ref="D158:I158"/>
    <mergeCell ref="D159:I159"/>
    <mergeCell ref="E124:I124"/>
    <mergeCell ref="E123:I123"/>
    <mergeCell ref="D150:I150"/>
    <mergeCell ref="D152:I152"/>
    <mergeCell ref="D174:I174"/>
    <mergeCell ref="I166:K166"/>
    <mergeCell ref="I165:K165"/>
    <mergeCell ref="D148:I148"/>
    <mergeCell ref="D149:I149"/>
    <mergeCell ref="D147:I147"/>
    <mergeCell ref="D141:I141"/>
    <mergeCell ref="D142:I142"/>
    <mergeCell ref="D143:I143"/>
    <mergeCell ref="D145:I145"/>
    <mergeCell ref="D144:I144"/>
    <mergeCell ref="B38:J38"/>
    <mergeCell ref="D120:J120"/>
    <mergeCell ref="E107:I107"/>
    <mergeCell ref="E108:I108"/>
    <mergeCell ref="E121:I121"/>
    <mergeCell ref="A45:M46"/>
    <mergeCell ref="H55:J55"/>
    <mergeCell ref="A43:M44"/>
  </mergeCells>
  <conditionalFormatting sqref="D22">
    <cfRule type="cellIs" dxfId="3" priority="1" operator="notEqual">
      <formula>"OK"</formula>
    </cfRule>
    <cfRule type="cellIs" dxfId="2" priority="2" operator="equal">
      <formula>"OK"</formula>
    </cfRule>
  </conditionalFormatting>
  <conditionalFormatting sqref="K38">
    <cfRule type="cellIs" dxfId="1" priority="5" operator="equal">
      <formula>"NO"</formula>
    </cfRule>
    <cfRule type="cellIs" dxfId="0" priority="6" operator="equal">
      <formula>"YES"</formula>
    </cfRule>
  </conditionalFormatting>
  <dataValidations disablePrompts="1" count="11">
    <dataValidation type="list" allowBlank="1" showInputMessage="1" showErrorMessage="1" errorTitle="Invalid Entry!" error="Please enter 1 for reduced blank version. Please use CVT2.0 Generator for reduced blank 2 and 3." sqref="K20" xr:uid="{00000000-0002-0000-0000-00000B000000}">
      <formula1>"1"</formula1>
    </dataValidation>
    <dataValidation type="whole" errorStyle="warning" showInputMessage="1" showErrorMessage="1" error="Non-standard target bits per pixel (fractional part)" sqref="K34" xr:uid="{00000000-0002-0000-0000-00000A000000}">
      <formula1>0</formula1>
      <formula2>16</formula2>
    </dataValidation>
    <dataValidation type="whole" errorStyle="warning" showInputMessage="1" showErrorMessage="1" error="Non-standard target bits per pixel (integer part) shall be between 0 - 16" sqref="K33" xr:uid="{00000000-0002-0000-0000-000009000000}">
      <formula1>0</formula1>
      <formula2>24</formula2>
    </dataValidation>
    <dataValidation type="custom" errorStyle="warning" showInputMessage="1" showErrorMessage="1" error="Non-Standard Link Rate" sqref="K32" xr:uid="{00000000-0002-0000-0000-000008000000}">
      <formula1>OR( DPRate=1.62, DPRate=2.7, DPRate=5.4, DPRate=8.1, DPRate=10, DPRate=13.5, DPRate=20)</formula1>
    </dataValidation>
    <dataValidation errorStyle="warning" showInputMessage="1" showErrorMessage="1" error="Non-Standard Link Rate" sqref="K35:K38" xr:uid="{00000000-0002-0000-0000-000007000000}"/>
    <dataValidation type="list" allowBlank="1" showInputMessage="1" showErrorMessage="1" sqref="K31" xr:uid="{00000000-0002-0000-0000-000006000000}">
      <formula1>"1,2,4"</formula1>
    </dataValidation>
    <dataValidation type="list" operator="equal" allowBlank="1" showInputMessage="1" showErrorMessage="1" sqref="K30" xr:uid="{00000000-0002-0000-0000-000005000000}">
      <formula1>"6,8,10,12,16,18,20,24,30,36,48"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8" xr:uid="{00000000-0002-0000-0000-000003000000}">
      <formula1>0</formula1>
    </dataValidation>
    <dataValidation type="custom" showInputMessage="1" showErrorMessage="1" errorTitle="Invalid Entry!" error="Please enter Y or N (Yes/No)." sqref="K16:K17 K19" xr:uid="{00000000-0002-0000-0000-000002000000}">
      <formula1>OR(K16="Y",K16="N")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00000000-0002-0000-0000-000001000000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00000000-0002-0000-0000-000000000000}">
      <formula1>0</formula1>
    </dataValidation>
  </dataValidations>
  <printOptions horizontalCentered="1" verticalCentered="1"/>
  <pageMargins left="0.5" right="0.5" top="0.56000000000000005" bottom="0.56000000000000005" header="0.5" footer="0.5"/>
  <pageSetup scale="28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DE-62D4-4888-B0E8-526B78A20E86}">
  <dimension ref="A1:C31"/>
  <sheetViews>
    <sheetView zoomScale="133" zoomScaleNormal="133" workbookViewId="0">
      <selection activeCell="A3" sqref="A3:XFD3"/>
    </sheetView>
  </sheetViews>
  <sheetFormatPr baseColWidth="10" defaultColWidth="8.83203125" defaultRowHeight="13"/>
  <cols>
    <col min="2" max="2" width="26.1640625" bestFit="1" customWidth="1"/>
    <col min="3" max="3" width="123.33203125" bestFit="1" customWidth="1"/>
  </cols>
  <sheetData>
    <row r="1" spans="1:3" ht="16">
      <c r="A1" s="534" t="s">
        <v>358</v>
      </c>
      <c r="B1" s="534"/>
      <c r="C1" s="26"/>
    </row>
    <row r="2" spans="1:3" ht="16">
      <c r="A2" s="534"/>
      <c r="B2" s="535" t="s">
        <v>359</v>
      </c>
      <c r="C2" s="26" t="s">
        <v>379</v>
      </c>
    </row>
    <row r="3" spans="1:3" ht="34">
      <c r="B3" s="535"/>
      <c r="C3" s="560" t="s">
        <v>380</v>
      </c>
    </row>
    <row r="4" spans="1:3" ht="16">
      <c r="A4" s="534" t="s">
        <v>324</v>
      </c>
      <c r="B4" s="534"/>
      <c r="C4" s="26"/>
    </row>
    <row r="5" spans="1:3" ht="16">
      <c r="A5" s="534"/>
      <c r="B5" s="535" t="s">
        <v>310</v>
      </c>
      <c r="C5" s="26" t="s">
        <v>309</v>
      </c>
    </row>
    <row r="6" spans="1:3" ht="16">
      <c r="B6" s="535" t="s">
        <v>333</v>
      </c>
      <c r="C6" s="26" t="s">
        <v>334</v>
      </c>
    </row>
    <row r="7" spans="1:3" ht="16">
      <c r="B7" s="535" t="s">
        <v>335</v>
      </c>
      <c r="C7" s="26" t="s">
        <v>336</v>
      </c>
    </row>
    <row r="8" spans="1:3" ht="16">
      <c r="B8" s="535" t="s">
        <v>337</v>
      </c>
      <c r="C8" s="26" t="s">
        <v>338</v>
      </c>
    </row>
    <row r="9" spans="1:3" ht="16">
      <c r="B9" s="535" t="s">
        <v>341</v>
      </c>
      <c r="C9" s="26" t="s">
        <v>342</v>
      </c>
    </row>
    <row r="10" spans="1:3" ht="16">
      <c r="B10" s="535"/>
      <c r="C10" s="26" t="s">
        <v>343</v>
      </c>
    </row>
    <row r="11" spans="1:3" ht="16">
      <c r="B11" s="535"/>
      <c r="C11" s="26" t="s">
        <v>344</v>
      </c>
    </row>
    <row r="12" spans="1:3" ht="16">
      <c r="B12" s="535" t="s">
        <v>345</v>
      </c>
      <c r="C12" s="26" t="s">
        <v>346</v>
      </c>
    </row>
    <row r="13" spans="1:3" ht="16">
      <c r="B13" s="535" t="s">
        <v>347</v>
      </c>
      <c r="C13" s="26" t="s">
        <v>348</v>
      </c>
    </row>
    <row r="14" spans="1:3" ht="16">
      <c r="B14" s="535" t="s">
        <v>350</v>
      </c>
      <c r="C14" s="26" t="s">
        <v>349</v>
      </c>
    </row>
    <row r="15" spans="1:3" ht="16">
      <c r="B15" s="535" t="s">
        <v>352</v>
      </c>
      <c r="C15" s="26" t="s">
        <v>353</v>
      </c>
    </row>
    <row r="16" spans="1:3" ht="16">
      <c r="A16" s="534" t="s">
        <v>325</v>
      </c>
      <c r="B16" s="26"/>
      <c r="C16" s="26"/>
    </row>
    <row r="17" spans="1:3" ht="16">
      <c r="A17" s="534"/>
      <c r="B17" s="535" t="s">
        <v>310</v>
      </c>
      <c r="C17" s="26" t="s">
        <v>311</v>
      </c>
    </row>
    <row r="18" spans="1:3" ht="16">
      <c r="A18" s="534"/>
      <c r="B18" s="536" t="s">
        <v>140</v>
      </c>
      <c r="C18" s="26" t="s">
        <v>304</v>
      </c>
    </row>
    <row r="19" spans="1:3" ht="16">
      <c r="A19" s="534"/>
      <c r="B19" s="536" t="s">
        <v>301</v>
      </c>
      <c r="C19" s="26" t="s">
        <v>307</v>
      </c>
    </row>
    <row r="20" spans="1:3" ht="16">
      <c r="A20" s="534"/>
      <c r="B20" s="536" t="s">
        <v>259</v>
      </c>
      <c r="C20" s="26" t="s">
        <v>308</v>
      </c>
    </row>
    <row r="21" spans="1:3" ht="16">
      <c r="A21" s="534"/>
      <c r="B21" s="536" t="s">
        <v>265</v>
      </c>
      <c r="C21" s="26" t="s">
        <v>303</v>
      </c>
    </row>
    <row r="22" spans="1:3" ht="16">
      <c r="A22" s="534"/>
      <c r="B22" s="536" t="s">
        <v>266</v>
      </c>
      <c r="C22" s="26" t="s">
        <v>312</v>
      </c>
    </row>
    <row r="23" spans="1:3" ht="16">
      <c r="A23" s="26"/>
      <c r="B23" s="536" t="s">
        <v>267</v>
      </c>
      <c r="C23" s="26" t="s">
        <v>313</v>
      </c>
    </row>
    <row r="24" spans="1:3" ht="16">
      <c r="A24" s="26"/>
      <c r="B24" s="536" t="s">
        <v>269</v>
      </c>
      <c r="C24" s="26" t="s">
        <v>314</v>
      </c>
    </row>
    <row r="25" spans="1:3" ht="16">
      <c r="A25" s="26"/>
      <c r="B25" s="536" t="s">
        <v>315</v>
      </c>
      <c r="C25" s="26" t="s">
        <v>260</v>
      </c>
    </row>
    <row r="26" spans="1:3" ht="16">
      <c r="A26" s="26"/>
      <c r="B26" s="536" t="s">
        <v>316</v>
      </c>
      <c r="C26" s="26" t="s">
        <v>262</v>
      </c>
    </row>
    <row r="27" spans="1:3" ht="16">
      <c r="A27" s="26"/>
      <c r="B27" s="536" t="s">
        <v>317</v>
      </c>
      <c r="C27" s="26" t="s">
        <v>263</v>
      </c>
    </row>
    <row r="28" spans="1:3" ht="16">
      <c r="A28" s="26"/>
      <c r="B28" s="536" t="s">
        <v>318</v>
      </c>
      <c r="C28" s="26" t="s">
        <v>264</v>
      </c>
    </row>
    <row r="29" spans="1:3" ht="16">
      <c r="A29" s="26"/>
      <c r="B29" s="536" t="s">
        <v>319</v>
      </c>
      <c r="C29" s="26" t="s">
        <v>268</v>
      </c>
    </row>
    <row r="30" spans="1:3" ht="16">
      <c r="A30" s="26"/>
      <c r="B30" s="536" t="s">
        <v>320</v>
      </c>
      <c r="C30" s="26" t="s">
        <v>270</v>
      </c>
    </row>
    <row r="31" spans="1:3" ht="16">
      <c r="A31" s="26"/>
      <c r="B31" s="536" t="s">
        <v>321</v>
      </c>
      <c r="C31" s="26" t="s">
        <v>250</v>
      </c>
    </row>
  </sheetData>
  <pageMargins left="0.7" right="0.7" top="0.75" bottom="0.75" header="0.3" footer="0.3"/>
  <pageSetup orientation="portrait" r:id="rId1"/>
  <headerFooter>
    <oddHeader>&amp;L&amp;"Arial"&amp;10&amp;K008000[Public]&amp;1#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DA73BC5BE06244BE792E6999A85D07" ma:contentTypeVersion="14" ma:contentTypeDescription="Create a new document." ma:contentTypeScope="" ma:versionID="155f9ae16a10b81e3103d034385d22d2">
  <xsd:schema xmlns:xsd="http://www.w3.org/2001/XMLSchema" xmlns:xs="http://www.w3.org/2001/XMLSchema" xmlns:p="http://schemas.microsoft.com/office/2006/metadata/properties" xmlns:ns3="a3cff847-3dbe-412a-b12b-69e3a981a79b" xmlns:ns4="9b8ddf7f-5bd8-4996-987a-c07510bf4fa9" targetNamespace="http://schemas.microsoft.com/office/2006/metadata/properties" ma:root="true" ma:fieldsID="4aeeed6e6f7c26e942ea7e6ff38e9ac0" ns3:_="" ns4:_="">
    <xsd:import namespace="a3cff847-3dbe-412a-b12b-69e3a981a79b"/>
    <xsd:import namespace="9b8ddf7f-5bd8-4996-987a-c07510bf4f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ff847-3dbe-412a-b12b-69e3a981a7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ddf7f-5bd8-4996-987a-c07510bf4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F20E14-EB6F-41B8-B39B-2BA0F19B7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ff847-3dbe-412a-b12b-69e3a981a79b"/>
    <ds:schemaRef ds:uri="9b8ddf7f-5bd8-4996-987a-c07510bf4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4EAAFD-123B-4E31-B7B2-91C32EAA5DF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DF64A3F-7E12-448B-8D27-77F345DF8D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EA7BA1-9F01-46C9-8667-ADB381CE80AE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a3cff847-3dbe-412a-b12b-69e3a981a79b"/>
    <ds:schemaRef ds:uri="http://schemas.microsoft.com/office/infopath/2007/PartnerControls"/>
    <ds:schemaRef ds:uri="http://schemas.openxmlformats.org/package/2006/metadata/core-properties"/>
    <ds:schemaRef ds:uri="9b8ddf7f-5bd8-4996-987a-c07510bf4f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CVTv2.1</vt:lpstr>
      <vt:lpstr>CVTv1.2a</vt:lpstr>
      <vt:lpstr>RevisionHistory</vt:lpstr>
      <vt:lpstr>CVTv1.2a!ACT_FIELD_RATE</vt:lpstr>
      <vt:lpstr>CVTv1.2a!ACT_FRAME_RATE</vt:lpstr>
      <vt:lpstr>CVTv2.1!ACT_FRAME_RATE</vt:lpstr>
      <vt:lpstr>CVTv1.2a!ACT_H_FREQ</vt:lpstr>
      <vt:lpstr>CVTv2.1!ACT_H_FREQ</vt:lpstr>
      <vt:lpstr>CVTv1.2a!ACT_PIXEL_FREQ</vt:lpstr>
      <vt:lpstr>CVTv2.1!ACT_PIXEL_FREQ</vt:lpstr>
      <vt:lpstr>CVTv1.2a!ACT_VBI_LINES</vt:lpstr>
      <vt:lpstr>CVTv2.1!ACT_VBI_LINES</vt:lpstr>
      <vt:lpstr>CVTv2.1!Additional_HBlank</vt:lpstr>
      <vt:lpstr>ALT_VBLANK_MIN_RQD</vt:lpstr>
      <vt:lpstr>CVTv1.2a!ASPECT_RATIO</vt:lpstr>
      <vt:lpstr>CVTv2.1!ASPECT_RATIO</vt:lpstr>
      <vt:lpstr>CVTv1.2a!BOT_MARGIN</vt:lpstr>
      <vt:lpstr>CVTv1.2a!C_PRIME</vt:lpstr>
      <vt:lpstr>CVTv1.2a!CELL_GRAN</vt:lpstr>
      <vt:lpstr>CVTv2.1!CELL_GRAN</vt:lpstr>
      <vt:lpstr>CVTv1.2a!CELL_GRAN_RND</vt:lpstr>
      <vt:lpstr>CVTv2.1!CELL_GRAN_RND</vt:lpstr>
      <vt:lpstr>CVTv1.2a!CLOCK_STEP</vt:lpstr>
      <vt:lpstr>CVTv2.1!CLOCK_STEP</vt:lpstr>
      <vt:lpstr>CVTv1.2a!COARSE_CLOCK_STEP</vt:lpstr>
      <vt:lpstr>CVTv1.2a!CRT_EST_V_BPORCH</vt:lpstr>
      <vt:lpstr>CVTv1.2a!CRT_FIELD_RATE</vt:lpstr>
      <vt:lpstr>CVTv1.2a!CRT_FRAME_RATE</vt:lpstr>
      <vt:lpstr>CVTv1.2a!CRT_H_BLANK</vt:lpstr>
      <vt:lpstr>CVTv1.2a!CRT_H_FREQ</vt:lpstr>
      <vt:lpstr>CVTv1.2a!CRT_H_PERIOD_EST</vt:lpstr>
      <vt:lpstr>CVTv1.2a!CRT_H_TOTAL</vt:lpstr>
      <vt:lpstr>CVTv1.2a!CRT_PIXEL_FREQ</vt:lpstr>
      <vt:lpstr>CVTv1.2a!CRT_TOTAL_V_LINES</vt:lpstr>
      <vt:lpstr>CVTv1.2a!DP20MiscOverhead</vt:lpstr>
      <vt:lpstr>CVTv2.1!DP20MiscOverhead</vt:lpstr>
      <vt:lpstr>CVTv1.2a!DP20MisvOverhead</vt:lpstr>
      <vt:lpstr>CVTv2.1!DP20MisvOverhead</vt:lpstr>
      <vt:lpstr>CVTv1.2a!DPBitsPerPixel</vt:lpstr>
      <vt:lpstr>CVTv2.1!DPBitsPerPixel</vt:lpstr>
      <vt:lpstr>CVTv1.2a!DPLanes</vt:lpstr>
      <vt:lpstr>CVTv2.1!DPLanes</vt:lpstr>
      <vt:lpstr>CVTv1.2a!DPModeEncodingOverhead</vt:lpstr>
      <vt:lpstr>CVTv2.1!DPModeEncodingOverhead</vt:lpstr>
      <vt:lpstr>CVTv1.2a!DPRate</vt:lpstr>
      <vt:lpstr>CVTv2.1!DPRate</vt:lpstr>
      <vt:lpstr>CVTv1.2a!DSCBitsPerPixel</vt:lpstr>
      <vt:lpstr>CVTv2.1!DSCBitsPerPixel</vt:lpstr>
      <vt:lpstr>CVTv1.2a!DSCBitsPerPixel_Frac</vt:lpstr>
      <vt:lpstr>CVTv2.1!DSCBitsPerPixel_Frac</vt:lpstr>
      <vt:lpstr>CVTv2.1!EARLY_VSYNC_RQD</vt:lpstr>
      <vt:lpstr>CVTv1.2a!FECOverHead</vt:lpstr>
      <vt:lpstr>CVTv2.1!FECOverHead</vt:lpstr>
      <vt:lpstr>CVTv1.2a!FINE_CLOCK_STEP</vt:lpstr>
      <vt:lpstr>CVTv2.1!FINE_CLOCK_STEP</vt:lpstr>
      <vt:lpstr>CVTv1.2a!FrameRate_Error</vt:lpstr>
      <vt:lpstr>CVTv2.1!FrameRate_Error</vt:lpstr>
      <vt:lpstr>CVTv1.2a!GTF_C_VAR</vt:lpstr>
      <vt:lpstr>CVTv1.2a!GTF_J_VAR</vt:lpstr>
      <vt:lpstr>CVTv1.2a!GTF_K_VAR</vt:lpstr>
      <vt:lpstr>CVTv1.2a!GTF_M_VAR</vt:lpstr>
      <vt:lpstr>CVTv1.2a!H_BACK_PORCH</vt:lpstr>
      <vt:lpstr>CVTv2.1!H_BACK_PORCH</vt:lpstr>
      <vt:lpstr>CVTv1.2a!H_BLANK</vt:lpstr>
      <vt:lpstr>CVTv2.1!H_BLANK</vt:lpstr>
      <vt:lpstr>CVTv1.2a!H_FRONT_PORCH</vt:lpstr>
      <vt:lpstr>CVTv2.1!H_FRONT_PORCH</vt:lpstr>
      <vt:lpstr>CVTv1.2a!H_PERIOD_EST</vt:lpstr>
      <vt:lpstr>CVTv2.1!H_PERIOD_EST</vt:lpstr>
      <vt:lpstr>CVTv1.2a!H_PIXELS</vt:lpstr>
      <vt:lpstr>CVTv2.1!H_PIXELS</vt:lpstr>
      <vt:lpstr>CVTv1.2a!H_PIXELS_RND</vt:lpstr>
      <vt:lpstr>CVTv2.1!H_PIXELS_RND</vt:lpstr>
      <vt:lpstr>CVTv1.2a!H_SYNC_PER</vt:lpstr>
      <vt:lpstr>CVTv1.2a!H_SYNC_RND</vt:lpstr>
      <vt:lpstr>CVTv2.1!H_SYNC_RND</vt:lpstr>
      <vt:lpstr>CVTv1.2a!IDEAL_DUTY_CYCLE</vt:lpstr>
      <vt:lpstr>CVTv1.2a!INT_RQD</vt:lpstr>
      <vt:lpstr>CVTv1.2a!INTERLACE</vt:lpstr>
      <vt:lpstr>CVTv1.2a!IP_FREQ_RQD</vt:lpstr>
      <vt:lpstr>CVTv2.1!IP_FREQ_RQD</vt:lpstr>
      <vt:lpstr>CVTv1.2a!LEFT_MARGIN</vt:lpstr>
      <vt:lpstr>CVTv1.2a!M_PRIME</vt:lpstr>
      <vt:lpstr>CVTv1.2a!MARGIN_PER</vt:lpstr>
      <vt:lpstr>CVTv1.2a!MARGINS_RQD</vt:lpstr>
      <vt:lpstr>CVTv1.2a!MIN_V_BPORCH</vt:lpstr>
      <vt:lpstr>CVTv1.2a!MIN_V_FPORCH</vt:lpstr>
      <vt:lpstr>CVTv1.2a!MIN_V_FPORCH_RND</vt:lpstr>
      <vt:lpstr>CVTv1.2a!MIN_VSYNC_BP</vt:lpstr>
      <vt:lpstr>CVTv1.2a!PixelClockPPMAdj</vt:lpstr>
      <vt:lpstr>CVTv2.1!PixelClockPPMAdj</vt:lpstr>
      <vt:lpstr>CVTv1.2a!Print_Area</vt:lpstr>
      <vt:lpstr>CVTv2.1!Print_Area</vt:lpstr>
      <vt:lpstr>CVTv1.2a!Print_Titles</vt:lpstr>
      <vt:lpstr>CVTv2.1!Print_Titles</vt:lpstr>
      <vt:lpstr>CVTv1.2a!RB_FIELD_RATE</vt:lpstr>
      <vt:lpstr>CVTv1.2a!RB_FRAME_RATE</vt:lpstr>
      <vt:lpstr>CVTv2.1!RB_FRAME_RATE</vt:lpstr>
      <vt:lpstr>CVTv1.2a!RB_H_BLANK</vt:lpstr>
      <vt:lpstr>CVTv2.1!RB_H_BLANK</vt:lpstr>
      <vt:lpstr>CVTv1.2a!RB_H_FREQ</vt:lpstr>
      <vt:lpstr>CVTv2.1!RB_H_FREQ</vt:lpstr>
      <vt:lpstr>CVTv1.2a!RB_H_PERIOD_EST</vt:lpstr>
      <vt:lpstr>CVTv2.1!RB_H_PERIOD_EST</vt:lpstr>
      <vt:lpstr>CVTv1.2a!RB_H_SYNC</vt:lpstr>
      <vt:lpstr>CVTv2.1!RB_H_SYNC</vt:lpstr>
      <vt:lpstr>CVTv1.2a!RB_H_TOTAL</vt:lpstr>
      <vt:lpstr>CVTv2.1!RB_H_TOTAL</vt:lpstr>
      <vt:lpstr>CVTv1.2a!RB_MIN_V_BLANK</vt:lpstr>
      <vt:lpstr>CVTv2.1!RB_MIN_V_BLANK</vt:lpstr>
      <vt:lpstr>CVTv1.2a!RB_MIN_V_BPORCH</vt:lpstr>
      <vt:lpstr>CVTv2.1!RB_MIN_V_BPORCH</vt:lpstr>
      <vt:lpstr>CVTv1.2a!RB_MIN_VBI</vt:lpstr>
      <vt:lpstr>CVTv2.1!RB_MIN_VBI</vt:lpstr>
      <vt:lpstr>CVTv1.2a!RB_PIXEL_FREQ</vt:lpstr>
      <vt:lpstr>CVTv2.1!RB_PIXEL_FREQ</vt:lpstr>
      <vt:lpstr>CVTv1.2a!RB_TOTAL_V_LINES</vt:lpstr>
      <vt:lpstr>CVTv2.1!RB_TOTAL_V_LINES</vt:lpstr>
      <vt:lpstr>CVTv1.2a!RB_V_FPORCH</vt:lpstr>
      <vt:lpstr>CVTv2.1!RB_V_FPORCH</vt:lpstr>
      <vt:lpstr>CVTv2.1!RB_V3_ADD_V_BLANK</vt:lpstr>
      <vt:lpstr>CVTv1.2a!RED_BLANK_RQD</vt:lpstr>
      <vt:lpstr>CVTv2.1!RED_BLANK_RQD</vt:lpstr>
      <vt:lpstr>CVTv1.2a!RED_BLANK_VER</vt:lpstr>
      <vt:lpstr>CVTv2.1!RED_BLANK_VER</vt:lpstr>
      <vt:lpstr>CVTv1.2a!RED_BLANK_VER2</vt:lpstr>
      <vt:lpstr>CVTv2.1!RED_BLANK_VER2</vt:lpstr>
      <vt:lpstr>CVTv1.2a!RequiredRawDPLinkBW</vt:lpstr>
      <vt:lpstr>CVTv2.1!RequiredRawDPLinkBW</vt:lpstr>
      <vt:lpstr>CVTv1.2a!RIGHT_MARGIN</vt:lpstr>
      <vt:lpstr>CVTv1.2a!TargetDSCBitsPerPixel</vt:lpstr>
      <vt:lpstr>CVTv2.1!TargetDSCBitsPerPixel</vt:lpstr>
      <vt:lpstr>CVTv1.2a!TOP_MARGIN</vt:lpstr>
      <vt:lpstr>CVTv1.2a!TOTAL_ACTIVE_PIXELS</vt:lpstr>
      <vt:lpstr>CVTv2.1!TOTAL_ACTIVE_PIXELS</vt:lpstr>
      <vt:lpstr>CVTv1.2a!TOTAL_PIXELS</vt:lpstr>
      <vt:lpstr>CVTv2.1!TOTAL_PIXELS</vt:lpstr>
      <vt:lpstr>CVTv1.2a!TOTAL_V_LINES</vt:lpstr>
      <vt:lpstr>CVTv2.1!TOTAL_V_LINES</vt:lpstr>
      <vt:lpstr>CVTv1.2a!TransportOverhead</vt:lpstr>
      <vt:lpstr>CVTv2.1!TransportOverhead</vt:lpstr>
      <vt:lpstr>CVTv1.2a!V_BACK_PORCH</vt:lpstr>
      <vt:lpstr>CVTv2.1!V_BACK_PORCH</vt:lpstr>
      <vt:lpstr>CVTv2.1!V_BACK_PORCH_EST</vt:lpstr>
      <vt:lpstr>CVTv1.2a!V_BLANK</vt:lpstr>
      <vt:lpstr>CVTv2.1!V_BLANK</vt:lpstr>
      <vt:lpstr>CVTv1.2a!V_FIELD_RATE_RQD</vt:lpstr>
      <vt:lpstr>CVTv2.1!V_FIELD_RATE_RQD</vt:lpstr>
      <vt:lpstr>CVTv1.2a!V_FRONT_PORCH</vt:lpstr>
      <vt:lpstr>CVTv2.1!V_FRONT_PORCH</vt:lpstr>
      <vt:lpstr>CVTv1.2a!V_LINES</vt:lpstr>
      <vt:lpstr>CVTv2.1!V_LINES</vt:lpstr>
      <vt:lpstr>CVTv1.2a!V_LINES_RND</vt:lpstr>
      <vt:lpstr>CVTv2.1!V_LINES_RND</vt:lpstr>
      <vt:lpstr>CVTv1.2a!V_SYNC</vt:lpstr>
      <vt:lpstr>CVTv2.1!V_SYNC</vt:lpstr>
      <vt:lpstr>CVTv1.2a!V_SYNC_BP</vt:lpstr>
      <vt:lpstr>CVTv1.2a!V_SYNC_RND</vt:lpstr>
      <vt:lpstr>CVTv2.1!V_SYNC_RND</vt:lpstr>
      <vt:lpstr>CVTv1.2a!VBI_LINES</vt:lpstr>
      <vt:lpstr>CVTv2.1!VBI_LINES</vt:lpstr>
      <vt:lpstr>CVTv1.2a!Version</vt:lpstr>
      <vt:lpstr>CVTv2.1!Version</vt:lpstr>
      <vt:lpstr>CVTv2.1!VIDEO_OPT</vt:lpstr>
      <vt:lpstr>CVTv1.2a!VSYNC_WIDTH_TABLE</vt:lpstr>
      <vt:lpstr>CVTv2.1!VSYNC_WIDTH_TABLE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VESA Coordinated Video Timing Generator</dc:title>
  <dc:subject>CVT Timing</dc:subject>
  <dc:creator>Syed Athar Hussain</dc:creator>
  <cp:keywords>CVT Timing Generator</cp:keywords>
  <cp:lastModifiedBy>Bob Ridenour</cp:lastModifiedBy>
  <cp:lastPrinted>2003-03-03T23:34:15Z</cp:lastPrinted>
  <dcterms:created xsi:type="dcterms:W3CDTF">2002-01-07T17:37:55Z</dcterms:created>
  <dcterms:modified xsi:type="dcterms:W3CDTF">2023-12-20T18:07:17Z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0x01010054DA73BC5BE06244BE792E6999A85D07</vt:lpwstr>
  </property>
  <property fmtid="{D5CDD505-2E9C-101B-9397-08002B2CF9AE}" pid="3" name="MSIP_Label_d4243a53-6221-4f75-8154-e4b33a5707a1_Enabled">
    <vt:lpwstr>true</vt:lpwstr>
  </property>
  <property fmtid="{D5CDD505-2E9C-101B-9397-08002B2CF9AE}" pid="4" name="MSIP_Label_d4243a53-6221-4f75-8154-e4b33a5707a1_SetDate">
    <vt:lpwstr>2022-07-19T15:26:38Z</vt:lpwstr>
  </property>
  <property fmtid="{D5CDD505-2E9C-101B-9397-08002B2CF9AE}" pid="5" name="MSIP_Label_d4243a53-6221-4f75-8154-e4b33a5707a1_Method">
    <vt:lpwstr>Privileged</vt:lpwstr>
  </property>
  <property fmtid="{D5CDD505-2E9C-101B-9397-08002B2CF9AE}" pid="6" name="MSIP_Label_d4243a53-6221-4f75-8154-e4b33a5707a1_Name">
    <vt:lpwstr>Public-AIP 2.0</vt:lpwstr>
  </property>
  <property fmtid="{D5CDD505-2E9C-101B-9397-08002B2CF9AE}" pid="7" name="MSIP_Label_d4243a53-6221-4f75-8154-e4b33a5707a1_SiteId">
    <vt:lpwstr>3dd8961f-e488-4e60-8e11-a82d994e183d</vt:lpwstr>
  </property>
  <property fmtid="{D5CDD505-2E9C-101B-9397-08002B2CF9AE}" pid="8" name="MSIP_Label_d4243a53-6221-4f75-8154-e4b33a5707a1_ActionId">
    <vt:lpwstr>2dc5d57d-a712-464a-a436-ed00e8fd1065</vt:lpwstr>
  </property>
  <property fmtid="{D5CDD505-2E9C-101B-9397-08002B2CF9AE}" pid="9" name="MSIP_Label_d4243a53-6221-4f75-8154-e4b33a5707a1_ContentBits">
    <vt:lpwstr>1</vt:lpwstr>
  </property>
</Properties>
</file>